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Estefaia\Desktop\"/>
    </mc:Choice>
  </mc:AlternateContent>
  <xr:revisionPtr revIDLastSave="0" documentId="8_{E42D0D2A-75C3-4B18-9611-701B87A9D9F6}" xr6:coauthVersionLast="41" xr6:coauthVersionMax="41" xr10:uidLastSave="{00000000-0000-0000-0000-000000000000}"/>
  <bookViews>
    <workbookView xWindow="-120" yWindow="-120" windowWidth="24240" windowHeight="13140" firstSheet="1" activeTab="1" xr2:uid="{00000000-000D-0000-FFFF-FFFF00000000}"/>
  </bookViews>
  <sheets>
    <sheet name="CIERRE PGO AVANCES" sheetId="20" state="hidden" r:id="rId1"/>
    <sheet name="Hoja 1" sheetId="21" r:id="rId2"/>
    <sheet name="AJUSTES EN CIERRE" sheetId="9" state="hidden" r:id="rId3"/>
    <sheet name="Hoja1" sheetId="10" state="hidden" r:id="rId4"/>
  </sheets>
  <definedNames>
    <definedName name="_xlnm._FilterDatabase" localSheetId="2" hidden="1">'AJUSTES EN CIERRE'!$A$1:$AI$837</definedName>
    <definedName name="_xlnm._FilterDatabase" localSheetId="0" hidden="1">'CIERRE PGO AVANCES'!$E$1:$E$345</definedName>
    <definedName name="_xlnm._FilterDatabase" localSheetId="1" hidden="1">'Hoja 1'!$C$1:$C$102</definedName>
    <definedName name="_xlnm.Print_Titles" localSheetId="0">'CIERRE PGO AVANCES'!$1:$5</definedName>
    <definedName name="_xlnm.Print_Titles" localSheetId="1">'Hoja 1'!$1:$7</definedName>
  </definedNames>
  <calcPr calcId="181029"/>
</workbook>
</file>

<file path=xl/calcChain.xml><?xml version="1.0" encoding="utf-8"?>
<calcChain xmlns="http://schemas.openxmlformats.org/spreadsheetml/2006/main">
  <c r="K336" i="20" l="1"/>
  <c r="J336" i="20"/>
  <c r="I336" i="20"/>
  <c r="H336" i="20"/>
  <c r="L336" i="20" s="1"/>
  <c r="G336" i="20"/>
  <c r="K333" i="20"/>
  <c r="J333" i="20"/>
  <c r="H333" i="20"/>
  <c r="G333" i="20"/>
  <c r="L332" i="20"/>
  <c r="L331" i="20"/>
  <c r="L330" i="20"/>
  <c r="L329" i="20"/>
  <c r="L328" i="20"/>
  <c r="L327" i="20"/>
  <c r="L326" i="20"/>
  <c r="L325" i="20"/>
  <c r="L324" i="20"/>
  <c r="L323" i="20"/>
  <c r="L322" i="20"/>
  <c r="L321" i="20"/>
  <c r="L320" i="20"/>
  <c r="L319" i="20"/>
  <c r="L318" i="20"/>
  <c r="L317" i="20"/>
  <c r="L316" i="20"/>
  <c r="L315" i="20"/>
  <c r="L314" i="20"/>
  <c r="L313" i="20"/>
  <c r="L312" i="20"/>
  <c r="L311" i="20"/>
  <c r="L310" i="20"/>
  <c r="L309" i="20"/>
  <c r="L308" i="20"/>
  <c r="L307" i="20"/>
  <c r="L306" i="20"/>
  <c r="L305" i="20"/>
  <c r="L304" i="20"/>
  <c r="L303" i="20"/>
  <c r="L302" i="20"/>
  <c r="L301" i="20"/>
  <c r="L300" i="20"/>
  <c r="L299" i="20"/>
  <c r="L298" i="20"/>
  <c r="A298" i="20"/>
  <c r="A299" i="20" s="1"/>
  <c r="A300" i="20" s="1"/>
  <c r="A301" i="20" s="1"/>
  <c r="A302" i="20" s="1"/>
  <c r="A303" i="20" s="1"/>
  <c r="A304" i="20" s="1"/>
  <c r="A305" i="20" s="1"/>
  <c r="L297" i="20"/>
  <c r="I296" i="20"/>
  <c r="I333" i="20" s="1"/>
  <c r="K295" i="20"/>
  <c r="J295" i="20"/>
  <c r="H295" i="20"/>
  <c r="G295" i="20"/>
  <c r="K293" i="20"/>
  <c r="J293" i="20"/>
  <c r="G293" i="20"/>
  <c r="L292" i="20"/>
  <c r="L291" i="20"/>
  <c r="I290" i="20"/>
  <c r="I263" i="20" s="1"/>
  <c r="L289" i="20"/>
  <c r="L288" i="20"/>
  <c r="L287" i="20"/>
  <c r="L286" i="20"/>
  <c r="L285" i="20"/>
  <c r="L284" i="20"/>
  <c r="L283" i="20"/>
  <c r="L282" i="20"/>
  <c r="L281" i="20"/>
  <c r="L280" i="20"/>
  <c r="H279" i="20"/>
  <c r="L279" i="20" s="1"/>
  <c r="L278" i="20"/>
  <c r="H278" i="20"/>
  <c r="H277" i="20"/>
  <c r="L277" i="20" s="1"/>
  <c r="L276" i="20"/>
  <c r="H276" i="20"/>
  <c r="H275" i="20"/>
  <c r="L275" i="20" s="1"/>
  <c r="L274" i="20"/>
  <c r="H274" i="20"/>
  <c r="L273" i="20"/>
  <c r="L272" i="20"/>
  <c r="L271" i="20"/>
  <c r="L270" i="20"/>
  <c r="L269" i="20"/>
  <c r="L268" i="20"/>
  <c r="L267" i="20"/>
  <c r="L266" i="20"/>
  <c r="L265" i="20"/>
  <c r="L264" i="20"/>
  <c r="H263" i="20"/>
  <c r="K262" i="20"/>
  <c r="J262" i="20"/>
  <c r="G262" i="20"/>
  <c r="K259" i="20"/>
  <c r="J259" i="20"/>
  <c r="G259" i="20"/>
  <c r="L258" i="20"/>
  <c r="L257" i="20"/>
  <c r="I256" i="20"/>
  <c r="H256" i="20"/>
  <c r="L255" i="20"/>
  <c r="H255" i="20"/>
  <c r="L254" i="20"/>
  <c r="I253" i="20"/>
  <c r="H253" i="20"/>
  <c r="I252" i="20"/>
  <c r="L252" i="20" s="1"/>
  <c r="L251" i="20"/>
  <c r="H250" i="20"/>
  <c r="L250" i="20" s="1"/>
  <c r="L249" i="20"/>
  <c r="L248" i="20"/>
  <c r="H247" i="20"/>
  <c r="L247" i="20" s="1"/>
  <c r="I246" i="20"/>
  <c r="H246" i="20"/>
  <c r="K245" i="20"/>
  <c r="J245" i="20"/>
  <c r="G245" i="20"/>
  <c r="K242" i="20"/>
  <c r="J242" i="20"/>
  <c r="L241" i="20"/>
  <c r="L240" i="20"/>
  <c r="L239" i="20"/>
  <c r="L238" i="20"/>
  <c r="L237" i="20"/>
  <c r="H236" i="20"/>
  <c r="L236" i="20" s="1"/>
  <c r="L235" i="20"/>
  <c r="L234" i="20"/>
  <c r="J234" i="20"/>
  <c r="L233" i="20"/>
  <c r="J233" i="20"/>
  <c r="L232" i="20"/>
  <c r="J232" i="20"/>
  <c r="J231" i="20"/>
  <c r="J176" i="20" s="1"/>
  <c r="G231" i="20"/>
  <c r="L230" i="20"/>
  <c r="L229" i="20"/>
  <c r="G228" i="20"/>
  <c r="L228" i="20" s="1"/>
  <c r="G227" i="20"/>
  <c r="L227" i="20" s="1"/>
  <c r="L226" i="20"/>
  <c r="L225" i="20"/>
  <c r="L224" i="20"/>
  <c r="L223" i="20"/>
  <c r="L222" i="20"/>
  <c r="L221" i="20"/>
  <c r="L220" i="20"/>
  <c r="L219" i="20"/>
  <c r="L218" i="20"/>
  <c r="L217" i="20"/>
  <c r="L216" i="20"/>
  <c r="L215" i="20"/>
  <c r="L214" i="20"/>
  <c r="G213" i="20"/>
  <c r="L213" i="20" s="1"/>
  <c r="G212" i="20"/>
  <c r="L212" i="20" s="1"/>
  <c r="L211" i="20"/>
  <c r="G210" i="20"/>
  <c r="L210" i="20" s="1"/>
  <c r="G209" i="20"/>
  <c r="L209" i="20" s="1"/>
  <c r="G208" i="20"/>
  <c r="L208" i="20" s="1"/>
  <c r="I207" i="20"/>
  <c r="H207" i="20"/>
  <c r="H194" i="20" s="1"/>
  <c r="L206" i="20"/>
  <c r="L205" i="20"/>
  <c r="G203" i="20"/>
  <c r="L203" i="20" s="1"/>
  <c r="L202" i="20"/>
  <c r="G201" i="20"/>
  <c r="L201" i="20" s="1"/>
  <c r="G200" i="20"/>
  <c r="L200" i="20" s="1"/>
  <c r="H199" i="20"/>
  <c r="H193" i="20" s="1"/>
  <c r="G199" i="20"/>
  <c r="G198" i="20"/>
  <c r="L197" i="20"/>
  <c r="H196" i="20"/>
  <c r="G196" i="20"/>
  <c r="H195" i="20"/>
  <c r="G193" i="20"/>
  <c r="L192" i="20"/>
  <c r="G192" i="20"/>
  <c r="L191" i="20"/>
  <c r="L190" i="20"/>
  <c r="L189" i="20"/>
  <c r="L188" i="20"/>
  <c r="L187" i="20"/>
  <c r="L186" i="20"/>
  <c r="L185" i="20"/>
  <c r="L184" i="20"/>
  <c r="L183" i="20"/>
  <c r="L182" i="20"/>
  <c r="L181" i="20"/>
  <c r="L180" i="20"/>
  <c r="L179" i="20"/>
  <c r="L178" i="20"/>
  <c r="K176" i="20"/>
  <c r="J173" i="20"/>
  <c r="I173" i="20"/>
  <c r="H173" i="20"/>
  <c r="L172" i="20"/>
  <c r="L171" i="20"/>
  <c r="L170" i="20"/>
  <c r="L169" i="20"/>
  <c r="L168" i="20"/>
  <c r="L167" i="20"/>
  <c r="L166" i="20"/>
  <c r="L165" i="20"/>
  <c r="L164" i="20"/>
  <c r="L163" i="20"/>
  <c r="L162" i="20"/>
  <c r="L161" i="20"/>
  <c r="L160" i="20"/>
  <c r="K159" i="20"/>
  <c r="K133" i="20" s="1"/>
  <c r="L158" i="20"/>
  <c r="L157" i="20"/>
  <c r="L156" i="20"/>
  <c r="L155" i="20"/>
  <c r="G155" i="20"/>
  <c r="L154" i="20"/>
  <c r="L153" i="20"/>
  <c r="L152" i="20"/>
  <c r="L151" i="20"/>
  <c r="L150" i="20"/>
  <c r="L149" i="20"/>
  <c r="L148" i="20"/>
  <c r="L147" i="20"/>
  <c r="L146" i="20"/>
  <c r="G146" i="20"/>
  <c r="L145" i="20"/>
  <c r="L144" i="20"/>
  <c r="L143" i="20"/>
  <c r="L142" i="20"/>
  <c r="L141" i="20"/>
  <c r="G140" i="20"/>
  <c r="L140" i="20" s="1"/>
  <c r="L139" i="20"/>
  <c r="L138" i="20"/>
  <c r="L137" i="20"/>
  <c r="L136" i="20"/>
  <c r="G136" i="20"/>
  <c r="G135" i="20"/>
  <c r="L135" i="20" s="1"/>
  <c r="L134" i="20"/>
  <c r="J133" i="20"/>
  <c r="I133" i="20"/>
  <c r="H133" i="20"/>
  <c r="G131" i="20"/>
  <c r="J130" i="20"/>
  <c r="I130" i="20"/>
  <c r="H130" i="20"/>
  <c r="L129" i="20"/>
  <c r="L128" i="20"/>
  <c r="H128" i="20"/>
  <c r="L127" i="20"/>
  <c r="K126" i="20"/>
  <c r="L126" i="20" s="1"/>
  <c r="L125" i="20"/>
  <c r="L124" i="20"/>
  <c r="K123" i="20"/>
  <c r="L123" i="20" s="1"/>
  <c r="L122" i="20"/>
  <c r="I121" i="20"/>
  <c r="I115" i="20" s="1"/>
  <c r="H121" i="20"/>
  <c r="H120" i="20"/>
  <c r="L120" i="20" s="1"/>
  <c r="H119" i="20"/>
  <c r="L119" i="20" s="1"/>
  <c r="J118" i="20"/>
  <c r="I118" i="20"/>
  <c r="I131" i="20" s="1"/>
  <c r="H118" i="20"/>
  <c r="H117" i="20"/>
  <c r="K115" i="20"/>
  <c r="G115" i="20"/>
  <c r="I112" i="20"/>
  <c r="L111" i="20"/>
  <c r="L110" i="20"/>
  <c r="L109" i="20"/>
  <c r="L108" i="20"/>
  <c r="L107" i="20"/>
  <c r="H107" i="20"/>
  <c r="L106" i="20"/>
  <c r="H105" i="20"/>
  <c r="K104" i="20"/>
  <c r="J104" i="20"/>
  <c r="I104" i="20"/>
  <c r="G104" i="20"/>
  <c r="K101" i="20"/>
  <c r="L99" i="20"/>
  <c r="L98" i="20"/>
  <c r="L97" i="20"/>
  <c r="L96" i="20"/>
  <c r="L95" i="20"/>
  <c r="L94" i="20"/>
  <c r="L93" i="20"/>
  <c r="L92" i="20"/>
  <c r="L91" i="20"/>
  <c r="L90" i="20"/>
  <c r="L89" i="20"/>
  <c r="I89" i="20"/>
  <c r="L88" i="20"/>
  <c r="H88" i="20"/>
  <c r="L87" i="20"/>
  <c r="I87" i="20"/>
  <c r="L86" i="20"/>
  <c r="J86" i="20"/>
  <c r="J101" i="20" s="1"/>
  <c r="L85" i="20"/>
  <c r="L84" i="20"/>
  <c r="L83" i="20"/>
  <c r="H83" i="20"/>
  <c r="L82" i="20"/>
  <c r="H81" i="20"/>
  <c r="L81" i="20" s="1"/>
  <c r="H80" i="20"/>
  <c r="L80" i="20" s="1"/>
  <c r="H79" i="20"/>
  <c r="L79" i="20" s="1"/>
  <c r="L78" i="20"/>
  <c r="I77" i="20"/>
  <c r="I101" i="20" s="1"/>
  <c r="H77" i="20"/>
  <c r="L77" i="20" s="1"/>
  <c r="H76" i="20"/>
  <c r="L76" i="20" s="1"/>
  <c r="H75" i="20"/>
  <c r="L74" i="20"/>
  <c r="L73" i="20"/>
  <c r="K72" i="20"/>
  <c r="J72" i="20"/>
  <c r="I72" i="20"/>
  <c r="G72" i="20"/>
  <c r="I69" i="20"/>
  <c r="H69" i="20"/>
  <c r="L67" i="20"/>
  <c r="L66" i="20"/>
  <c r="K65" i="20"/>
  <c r="J65" i="20"/>
  <c r="I65" i="20"/>
  <c r="H65" i="20"/>
  <c r="G65" i="20"/>
  <c r="L60" i="20"/>
  <c r="H59" i="20"/>
  <c r="L59" i="20" s="1"/>
  <c r="J58" i="20"/>
  <c r="J62" i="20" s="1"/>
  <c r="H58" i="20"/>
  <c r="H57" i="20" s="1"/>
  <c r="K57" i="20"/>
  <c r="J57" i="20"/>
  <c r="I57" i="20"/>
  <c r="G57" i="20"/>
  <c r="J54" i="20"/>
  <c r="I54" i="20"/>
  <c r="L53" i="20"/>
  <c r="L52" i="20"/>
  <c r="L51" i="20"/>
  <c r="H50" i="20"/>
  <c r="L50" i="20" s="1"/>
  <c r="L49" i="20"/>
  <c r="L48" i="20"/>
  <c r="G48" i="20"/>
  <c r="L47" i="20"/>
  <c r="L46" i="20"/>
  <c r="L45" i="20"/>
  <c r="G44" i="20"/>
  <c r="L44" i="20" s="1"/>
  <c r="L43" i="20"/>
  <c r="G42" i="20"/>
  <c r="L42" i="20" s="1"/>
  <c r="G41" i="20"/>
  <c r="L41" i="20" s="1"/>
  <c r="L40" i="20"/>
  <c r="H39" i="20"/>
  <c r="L39" i="20" s="1"/>
  <c r="H38" i="20"/>
  <c r="L38" i="20" s="1"/>
  <c r="L37" i="20"/>
  <c r="G36" i="20"/>
  <c r="G23" i="20" s="1"/>
  <c r="L35" i="20"/>
  <c r="G34" i="20"/>
  <c r="L34" i="20" s="1"/>
  <c r="L33" i="20"/>
  <c r="L32" i="20"/>
  <c r="G32" i="20"/>
  <c r="L31" i="20"/>
  <c r="G31" i="20"/>
  <c r="L30" i="20"/>
  <c r="G30" i="20"/>
  <c r="L29" i="20"/>
  <c r="G29" i="20"/>
  <c r="L28" i="20"/>
  <c r="G27" i="20"/>
  <c r="L27" i="20" s="1"/>
  <c r="L26" i="20"/>
  <c r="G26" i="20"/>
  <c r="L25" i="20"/>
  <c r="G25" i="20"/>
  <c r="L24" i="20"/>
  <c r="K23" i="20"/>
  <c r="J23" i="20"/>
  <c r="I23" i="20"/>
  <c r="I20" i="20"/>
  <c r="L19" i="20"/>
  <c r="H18" i="20"/>
  <c r="H20" i="20" s="1"/>
  <c r="L17" i="20"/>
  <c r="K16" i="20"/>
  <c r="J16" i="20"/>
  <c r="I16" i="20"/>
  <c r="H16" i="20"/>
  <c r="G16" i="20"/>
  <c r="L12" i="20"/>
  <c r="G12" i="20"/>
  <c r="L11" i="20"/>
  <c r="L10" i="20"/>
  <c r="L9" i="20"/>
  <c r="G9" i="20"/>
  <c r="L8" i="20"/>
  <c r="G8" i="20"/>
  <c r="K7" i="20"/>
  <c r="J7" i="20"/>
  <c r="I7" i="20"/>
  <c r="H7" i="20"/>
  <c r="G7" i="20"/>
  <c r="I293" i="20" l="1"/>
  <c r="I262" i="20"/>
  <c r="G14" i="20"/>
  <c r="L36" i="20"/>
  <c r="L54" i="20" s="1"/>
  <c r="L231" i="20"/>
  <c r="L290" i="20"/>
  <c r="I295" i="20"/>
  <c r="L295" i="20" s="1"/>
  <c r="L296" i="20"/>
  <c r="L118" i="20"/>
  <c r="L130" i="20"/>
  <c r="I245" i="20"/>
  <c r="L253" i="20"/>
  <c r="H262" i="20"/>
  <c r="L121" i="20"/>
  <c r="L14" i="20"/>
  <c r="L16" i="20"/>
  <c r="L65" i="20"/>
  <c r="L333" i="20"/>
  <c r="L7" i="20"/>
  <c r="H54" i="20"/>
  <c r="J131" i="20"/>
  <c r="J115" i="20"/>
  <c r="J335" i="20" s="1"/>
  <c r="K131" i="20"/>
  <c r="L198" i="20"/>
  <c r="G176" i="20"/>
  <c r="I196" i="20"/>
  <c r="L196" i="20" s="1"/>
  <c r="I195" i="20"/>
  <c r="L195" i="20" s="1"/>
  <c r="H242" i="20"/>
  <c r="I259" i="20"/>
  <c r="K335" i="20"/>
  <c r="L18" i="20"/>
  <c r="L20" i="20" s="1"/>
  <c r="H23" i="20"/>
  <c r="L23" i="20" s="1"/>
  <c r="G54" i="20"/>
  <c r="L58" i="20"/>
  <c r="H62" i="20"/>
  <c r="L69" i="20"/>
  <c r="H101" i="20"/>
  <c r="L75" i="20"/>
  <c r="L101" i="20" s="1"/>
  <c r="H72" i="20"/>
  <c r="L72" i="20" s="1"/>
  <c r="H112" i="20"/>
  <c r="L105" i="20"/>
  <c r="L112" i="20" s="1"/>
  <c r="H104" i="20"/>
  <c r="L104" i="20" s="1"/>
  <c r="H131" i="20"/>
  <c r="L117" i="20"/>
  <c r="L131" i="20" s="1"/>
  <c r="H115" i="20"/>
  <c r="G133" i="20"/>
  <c r="L133" i="20" s="1"/>
  <c r="G173" i="20"/>
  <c r="K173" i="20"/>
  <c r="L159" i="20"/>
  <c r="L173" i="20" s="1"/>
  <c r="H176" i="20"/>
  <c r="G242" i="20"/>
  <c r="I194" i="20"/>
  <c r="L194" i="20" s="1"/>
  <c r="I199" i="20"/>
  <c r="I193" i="20" s="1"/>
  <c r="L193" i="20" s="1"/>
  <c r="L207" i="20"/>
  <c r="H245" i="20"/>
  <c r="H259" i="20"/>
  <c r="L256" i="20"/>
  <c r="L262" i="20"/>
  <c r="L263" i="20"/>
  <c r="L293" i="20" s="1"/>
  <c r="H293" i="20"/>
  <c r="L246" i="20"/>
  <c r="L259" i="20" s="1"/>
  <c r="L245" i="20" l="1"/>
  <c r="G335" i="20"/>
  <c r="L199" i="20"/>
  <c r="L115" i="20"/>
  <c r="J341" i="20"/>
  <c r="J337" i="20"/>
  <c r="L242" i="20"/>
  <c r="L57" i="20"/>
  <c r="L62" i="20"/>
  <c r="K337" i="20"/>
  <c r="K341" i="20"/>
  <c r="G341" i="20"/>
  <c r="G337" i="20"/>
  <c r="H335" i="20"/>
  <c r="H337" i="20" s="1"/>
  <c r="I242" i="20"/>
  <c r="I176" i="20"/>
  <c r="I335" i="20" s="1"/>
  <c r="I337" i="20" l="1"/>
  <c r="J342" i="20" s="1"/>
  <c r="I341" i="20"/>
  <c r="L176" i="20"/>
  <c r="L335" i="20" s="1"/>
  <c r="L337" i="20" s="1"/>
  <c r="AK684" i="9" l="1"/>
  <c r="K5" i="10" l="1"/>
  <c r="K4" i="10"/>
  <c r="K3" i="10"/>
  <c r="E362" i="9" l="1"/>
  <c r="E363" i="9" s="1"/>
  <c r="E365" i="9" s="1"/>
  <c r="I56" i="9" l="1"/>
  <c r="AF56" i="9"/>
  <c r="AJ56" i="9"/>
  <c r="I65" i="9" l="1"/>
  <c r="I260" i="9"/>
  <c r="I259" i="9"/>
  <c r="I257" i="9"/>
  <c r="I254" i="9"/>
  <c r="I237" i="9"/>
  <c r="I173" i="9"/>
  <c r="I134" i="9" s="1"/>
  <c r="I131" i="9"/>
  <c r="I121" i="9"/>
  <c r="I120" i="9"/>
  <c r="I118" i="9"/>
  <c r="I106" i="9"/>
  <c r="I94" i="9"/>
  <c r="I89" i="9"/>
  <c r="I86" i="9"/>
  <c r="I85" i="9"/>
  <c r="I81" i="9"/>
  <c r="I45" i="9"/>
  <c r="I44" i="9"/>
  <c r="AF549" i="9"/>
  <c r="AF345" i="9"/>
  <c r="I174" i="9"/>
  <c r="AF81" i="9" l="1"/>
  <c r="AG66" i="9"/>
  <c r="AF65" i="9"/>
  <c r="AG65" i="9"/>
  <c r="AI56" i="9" l="1"/>
  <c r="AG24" i="9" l="1"/>
  <c r="AI24" i="9"/>
  <c r="H211" i="9" l="1"/>
  <c r="AG211" i="9"/>
  <c r="H141" i="9"/>
  <c r="H457" i="9" l="1"/>
  <c r="AF458" i="9"/>
  <c r="H428" i="9"/>
  <c r="AH428" i="9"/>
  <c r="H442" i="9"/>
  <c r="H430" i="9"/>
  <c r="T430" i="9" s="1"/>
  <c r="H417" i="9"/>
  <c r="AH54" i="9"/>
  <c r="H214" i="9"/>
  <c r="H213" i="9"/>
  <c r="H210" i="9"/>
  <c r="H209" i="9"/>
  <c r="T209" i="9" s="1"/>
  <c r="H201" i="9"/>
  <c r="H197" i="9"/>
  <c r="H156" i="9"/>
  <c r="H136" i="9"/>
  <c r="H174" i="9" s="1"/>
  <c r="H54" i="9"/>
  <c r="AF54" i="9" s="1"/>
  <c r="AI54" i="9" s="1"/>
  <c r="H50" i="9"/>
  <c r="H36" i="9"/>
  <c r="H35" i="9"/>
  <c r="H29" i="9" s="1"/>
  <c r="H31" i="9"/>
  <c r="H32" i="9"/>
  <c r="H15" i="9"/>
  <c r="AH211" i="9"/>
  <c r="AF244" i="9"/>
  <c r="AF209" i="9"/>
  <c r="AF247" i="9" s="1"/>
  <c r="AF248" i="9" s="1"/>
  <c r="AF42" i="9"/>
  <c r="AF43" i="9"/>
  <c r="AF47" i="9"/>
  <c r="AF49" i="9"/>
  <c r="Z51" i="9"/>
  <c r="AF51" i="9" s="1"/>
  <c r="AF157" i="9"/>
  <c r="AF180" i="9"/>
  <c r="AF192" i="9"/>
  <c r="AF217" i="9"/>
  <c r="H228" i="9"/>
  <c r="AF228" i="9" s="1"/>
  <c r="H229" i="9"/>
  <c r="AF229" i="9" s="1"/>
  <c r="AH188" i="9"/>
  <c r="H137" i="9"/>
  <c r="AF137" i="9" s="1"/>
  <c r="H375" i="9"/>
  <c r="H376" i="9"/>
  <c r="H377" i="9"/>
  <c r="T377" i="9" s="1"/>
  <c r="Y377" i="9" s="1"/>
  <c r="H398" i="9"/>
  <c r="H399" i="9"/>
  <c r="H400" i="9"/>
  <c r="H401" i="9"/>
  <c r="T401" i="9" s="1"/>
  <c r="Y401" i="9" s="1"/>
  <c r="H403" i="9"/>
  <c r="H405" i="9"/>
  <c r="H407" i="9"/>
  <c r="H424" i="9"/>
  <c r="M424" i="9" s="1"/>
  <c r="H427" i="9"/>
  <c r="H436" i="9"/>
  <c r="H438" i="9"/>
  <c r="H443" i="9"/>
  <c r="M443" i="9" s="1"/>
  <c r="H444" i="9"/>
  <c r="H452" i="9"/>
  <c r="H469" i="9"/>
  <c r="H470" i="9" s="1"/>
  <c r="H477" i="9"/>
  <c r="I483" i="9"/>
  <c r="I484" i="9"/>
  <c r="I485" i="9"/>
  <c r="I487" i="9"/>
  <c r="I482" i="9" s="1"/>
  <c r="I570" i="9" s="1"/>
  <c r="I488" i="9"/>
  <c r="I489" i="9"/>
  <c r="I491" i="9"/>
  <c r="I492" i="9"/>
  <c r="M492" i="9" s="1"/>
  <c r="I493" i="9"/>
  <c r="I494" i="9"/>
  <c r="I496" i="9"/>
  <c r="I497" i="9"/>
  <c r="M497" i="9" s="1"/>
  <c r="I499" i="9"/>
  <c r="I502" i="9"/>
  <c r="I517" i="9"/>
  <c r="I518" i="9"/>
  <c r="U518" i="9" s="1"/>
  <c r="Y518" i="9" s="1"/>
  <c r="I520" i="9"/>
  <c r="I521" i="9"/>
  <c r="I532" i="9"/>
  <c r="I549" i="9"/>
  <c r="I699" i="9" s="1"/>
  <c r="I561" i="9"/>
  <c r="I564" i="9"/>
  <c r="I569" i="9"/>
  <c r="J577" i="9"/>
  <c r="J578" i="9"/>
  <c r="V578" i="9" s="1"/>
  <c r="Y578" i="9" s="1"/>
  <c r="J589" i="9"/>
  <c r="J598" i="9"/>
  <c r="M598" i="9" s="1"/>
  <c r="J604" i="9"/>
  <c r="J618" i="9"/>
  <c r="J625" i="9"/>
  <c r="J628" i="9"/>
  <c r="V628" i="9" s="1"/>
  <c r="Y628" i="9" s="1"/>
  <c r="J693" i="9"/>
  <c r="M703" i="9"/>
  <c r="M704" i="9"/>
  <c r="M705" i="9"/>
  <c r="M706" i="9"/>
  <c r="M707" i="9"/>
  <c r="M708" i="9"/>
  <c r="M709" i="9"/>
  <c r="M710" i="9"/>
  <c r="M711" i="9"/>
  <c r="M712" i="9"/>
  <c r="M713" i="9"/>
  <c r="M714" i="9"/>
  <c r="M715" i="9"/>
  <c r="M716" i="9"/>
  <c r="M717" i="9"/>
  <c r="M718" i="9"/>
  <c r="M719" i="9"/>
  <c r="M720" i="9"/>
  <c r="M721" i="9"/>
  <c r="M722" i="9"/>
  <c r="M723" i="9"/>
  <c r="M724" i="9"/>
  <c r="M725" i="9"/>
  <c r="M726" i="9"/>
  <c r="M727" i="9"/>
  <c r="M728" i="9"/>
  <c r="M729" i="9"/>
  <c r="M730" i="9"/>
  <c r="M731" i="9"/>
  <c r="M732" i="9"/>
  <c r="M733" i="9"/>
  <c r="M734" i="9"/>
  <c r="M735" i="9"/>
  <c r="M736" i="9"/>
  <c r="M737" i="9"/>
  <c r="M738" i="9"/>
  <c r="M739" i="9"/>
  <c r="M740" i="9"/>
  <c r="M741" i="9"/>
  <c r="M742" i="9"/>
  <c r="M743" i="9"/>
  <c r="J744" i="9"/>
  <c r="M744" i="9"/>
  <c r="J745" i="9"/>
  <c r="M745" i="9"/>
  <c r="J746" i="9"/>
  <c r="M746" i="9"/>
  <c r="M752" i="9"/>
  <c r="M754" i="9"/>
  <c r="M755" i="9"/>
  <c r="M756" i="9"/>
  <c r="M758" i="9"/>
  <c r="M760" i="9"/>
  <c r="M761" i="9"/>
  <c r="M762" i="9"/>
  <c r="M764" i="9"/>
  <c r="M765" i="9"/>
  <c r="M766" i="9"/>
  <c r="M767" i="9"/>
  <c r="M768" i="9"/>
  <c r="M770" i="9"/>
  <c r="M771" i="9"/>
  <c r="M772" i="9"/>
  <c r="M773" i="9"/>
  <c r="M774" i="9"/>
  <c r="M775" i="9"/>
  <c r="M776" i="9"/>
  <c r="M777" i="9"/>
  <c r="M778" i="9"/>
  <c r="M779" i="9"/>
  <c r="M780" i="9"/>
  <c r="M781" i="9"/>
  <c r="M782" i="9"/>
  <c r="M783" i="9"/>
  <c r="M784" i="9"/>
  <c r="M785" i="9"/>
  <c r="M786" i="9"/>
  <c r="M787" i="9"/>
  <c r="M788" i="9"/>
  <c r="M789" i="9"/>
  <c r="M790" i="9"/>
  <c r="M791" i="9"/>
  <c r="M792" i="9"/>
  <c r="M793" i="9"/>
  <c r="M794" i="9"/>
  <c r="M795" i="9"/>
  <c r="M796" i="9"/>
  <c r="M797" i="9"/>
  <c r="M798" i="9"/>
  <c r="M799" i="9"/>
  <c r="M800" i="9"/>
  <c r="M801" i="9"/>
  <c r="M802" i="9"/>
  <c r="M803" i="9"/>
  <c r="M804" i="9"/>
  <c r="M805" i="9"/>
  <c r="M806" i="9"/>
  <c r="M807" i="9"/>
  <c r="M808" i="9"/>
  <c r="M809" i="9"/>
  <c r="M810" i="9"/>
  <c r="M811" i="9"/>
  <c r="M812" i="9"/>
  <c r="M813" i="9"/>
  <c r="M814" i="9"/>
  <c r="M820" i="9"/>
  <c r="M821" i="9"/>
  <c r="M822" i="9"/>
  <c r="M823" i="9"/>
  <c r="M824" i="9"/>
  <c r="M825" i="9"/>
  <c r="M827" i="9"/>
  <c r="M829" i="9"/>
  <c r="M830" i="9"/>
  <c r="M831" i="9"/>
  <c r="M832" i="9"/>
  <c r="M834" i="9"/>
  <c r="AE835" i="9"/>
  <c r="AD824" i="9"/>
  <c r="AD835" i="9" s="1"/>
  <c r="AC835" i="9"/>
  <c r="AB835" i="9"/>
  <c r="AA835" i="9"/>
  <c r="Z835" i="9"/>
  <c r="Y835" i="9"/>
  <c r="R820" i="9"/>
  <c r="X820" i="9"/>
  <c r="R821" i="9"/>
  <c r="X821" i="9" s="1"/>
  <c r="R822" i="9"/>
  <c r="X822" i="9"/>
  <c r="R823" i="9"/>
  <c r="X823" i="9" s="1"/>
  <c r="R824" i="9"/>
  <c r="X824" i="9"/>
  <c r="R825" i="9"/>
  <c r="X825" i="9" s="1"/>
  <c r="R827" i="9"/>
  <c r="X827" i="9"/>
  <c r="R829" i="9"/>
  <c r="X829" i="9" s="1"/>
  <c r="R830" i="9"/>
  <c r="X830" i="9"/>
  <c r="R831" i="9"/>
  <c r="X831" i="9" s="1"/>
  <c r="R832" i="9"/>
  <c r="X832" i="9" s="1"/>
  <c r="W835" i="9"/>
  <c r="V835" i="9"/>
  <c r="U835" i="9"/>
  <c r="T835" i="9"/>
  <c r="S835" i="9"/>
  <c r="Q835" i="9"/>
  <c r="P835" i="9"/>
  <c r="O835" i="9"/>
  <c r="N835" i="9"/>
  <c r="L819" i="9"/>
  <c r="L826" i="9"/>
  <c r="L828" i="9"/>
  <c r="L833" i="9"/>
  <c r="K835" i="9"/>
  <c r="J835" i="9"/>
  <c r="I835" i="9"/>
  <c r="H835" i="9"/>
  <c r="E835" i="9"/>
  <c r="AC754" i="9"/>
  <c r="AE754" i="9" s="1"/>
  <c r="AC755" i="9"/>
  <c r="AE755" i="9" s="1"/>
  <c r="AE815" i="9" s="1"/>
  <c r="AD815" i="9"/>
  <c r="AB815" i="9"/>
  <c r="AA815" i="9"/>
  <c r="Z815" i="9"/>
  <c r="Y815" i="9"/>
  <c r="X815" i="9"/>
  <c r="W752" i="9"/>
  <c r="Q754" i="9"/>
  <c r="W754" i="9" s="1"/>
  <c r="Q755" i="9"/>
  <c r="W755" i="9" s="1"/>
  <c r="W756" i="9"/>
  <c r="W758" i="9"/>
  <c r="W760" i="9"/>
  <c r="W761" i="9"/>
  <c r="W762" i="9"/>
  <c r="Q764" i="9"/>
  <c r="Q765" i="9"/>
  <c r="W765" i="9" s="1"/>
  <c r="Q766" i="9"/>
  <c r="Q767" i="9"/>
  <c r="W767" i="9" s="1"/>
  <c r="Q768" i="9"/>
  <c r="W770" i="9"/>
  <c r="Q771" i="9"/>
  <c r="W771" i="9" s="1"/>
  <c r="W772" i="9"/>
  <c r="W773" i="9"/>
  <c r="Q774" i="9"/>
  <c r="W774" i="9" s="1"/>
  <c r="Q775" i="9"/>
  <c r="W775" i="9"/>
  <c r="Q776" i="9"/>
  <c r="W776" i="9" s="1"/>
  <c r="Q777" i="9"/>
  <c r="W777" i="9"/>
  <c r="Q778" i="9"/>
  <c r="W778" i="9" s="1"/>
  <c r="Q779" i="9"/>
  <c r="W779" i="9"/>
  <c r="Q780" i="9"/>
  <c r="W780" i="9" s="1"/>
  <c r="Q781" i="9"/>
  <c r="W781" i="9"/>
  <c r="Q782" i="9"/>
  <c r="W782" i="9" s="1"/>
  <c r="W783" i="9"/>
  <c r="W784" i="9"/>
  <c r="Q785" i="9"/>
  <c r="W785" i="9" s="1"/>
  <c r="Q786" i="9"/>
  <c r="W786" i="9"/>
  <c r="Q787" i="9"/>
  <c r="W787" i="9" s="1"/>
  <c r="Q788" i="9"/>
  <c r="W788" i="9"/>
  <c r="Q789" i="9"/>
  <c r="W789" i="9" s="1"/>
  <c r="Q790" i="9"/>
  <c r="W790" i="9"/>
  <c r="W791" i="9"/>
  <c r="Q792" i="9"/>
  <c r="W792" i="9" s="1"/>
  <c r="Q793" i="9"/>
  <c r="Q794" i="9"/>
  <c r="W794" i="9" s="1"/>
  <c r="Q795" i="9"/>
  <c r="Q796" i="9"/>
  <c r="W796" i="9" s="1"/>
  <c r="Q797" i="9"/>
  <c r="Q798" i="9"/>
  <c r="W798" i="9" s="1"/>
  <c r="Q799" i="9"/>
  <c r="Q800" i="9"/>
  <c r="W800" i="9" s="1"/>
  <c r="Q801" i="9"/>
  <c r="W802" i="9"/>
  <c r="W803" i="9"/>
  <c r="Q804" i="9"/>
  <c r="W804" i="9" s="1"/>
  <c r="Q805" i="9"/>
  <c r="Q806" i="9"/>
  <c r="W806" i="9" s="1"/>
  <c r="Q807" i="9"/>
  <c r="Q808" i="9"/>
  <c r="W808" i="9" s="1"/>
  <c r="Q809" i="9"/>
  <c r="Q810" i="9"/>
  <c r="W810" i="9" s="1"/>
  <c r="Q811" i="9"/>
  <c r="Q812" i="9"/>
  <c r="W812" i="9" s="1"/>
  <c r="W813" i="9"/>
  <c r="W814" i="9"/>
  <c r="V815" i="9"/>
  <c r="U815" i="9"/>
  <c r="T815" i="9"/>
  <c r="S752" i="9"/>
  <c r="S753" i="9"/>
  <c r="S756" i="9"/>
  <c r="S758" i="9"/>
  <c r="S760" i="9"/>
  <c r="S761" i="9"/>
  <c r="S762" i="9"/>
  <c r="S767" i="9"/>
  <c r="S770" i="9"/>
  <c r="S771" i="9"/>
  <c r="S772" i="9"/>
  <c r="S773" i="9"/>
  <c r="S774" i="9"/>
  <c r="S775" i="9"/>
  <c r="S776" i="9"/>
  <c r="S777" i="9"/>
  <c r="S778" i="9"/>
  <c r="S779" i="9"/>
  <c r="S780" i="9"/>
  <c r="S781" i="9"/>
  <c r="S782" i="9"/>
  <c r="S783" i="9"/>
  <c r="S784" i="9"/>
  <c r="S785" i="9"/>
  <c r="S786" i="9"/>
  <c r="S787" i="9"/>
  <c r="S788" i="9"/>
  <c r="S789" i="9"/>
  <c r="S790" i="9"/>
  <c r="S791" i="9"/>
  <c r="S798" i="9"/>
  <c r="S802" i="9"/>
  <c r="S803" i="9"/>
  <c r="S804" i="9"/>
  <c r="S808" i="9"/>
  <c r="S812" i="9"/>
  <c r="S813" i="9"/>
  <c r="S814" i="9"/>
  <c r="R815" i="9"/>
  <c r="P815" i="9"/>
  <c r="O815" i="9"/>
  <c r="N815" i="9"/>
  <c r="L815" i="9"/>
  <c r="K751" i="9"/>
  <c r="K815" i="9" s="1"/>
  <c r="K753" i="9"/>
  <c r="K757" i="9"/>
  <c r="K759" i="9"/>
  <c r="K763" i="9"/>
  <c r="K769" i="9"/>
  <c r="J815" i="9"/>
  <c r="I815" i="9"/>
  <c r="H815" i="9"/>
  <c r="AE747" i="9"/>
  <c r="AD747" i="9"/>
  <c r="AC747" i="9"/>
  <c r="AB747" i="9"/>
  <c r="AA747" i="9"/>
  <c r="Z747" i="9"/>
  <c r="Y747" i="9"/>
  <c r="X747" i="9"/>
  <c r="W747" i="9"/>
  <c r="V703" i="9"/>
  <c r="V704" i="9"/>
  <c r="P705" i="9"/>
  <c r="V705" i="9" s="1"/>
  <c r="P706" i="9"/>
  <c r="V706" i="9" s="1"/>
  <c r="P707" i="9"/>
  <c r="V707" i="9" s="1"/>
  <c r="P708" i="9"/>
  <c r="V708" i="9" s="1"/>
  <c r="P709" i="9"/>
  <c r="V709" i="9" s="1"/>
  <c r="P710" i="9"/>
  <c r="V710" i="9" s="1"/>
  <c r="P711" i="9"/>
  <c r="V711" i="9" s="1"/>
  <c r="V712" i="9"/>
  <c r="V713" i="9"/>
  <c r="V714" i="9"/>
  <c r="V715" i="9"/>
  <c r="V716" i="9"/>
  <c r="P717" i="9"/>
  <c r="P718" i="9"/>
  <c r="V718" i="9" s="1"/>
  <c r="V719" i="9"/>
  <c r="P720" i="9"/>
  <c r="V720" i="9" s="1"/>
  <c r="P721" i="9"/>
  <c r="V721" i="9" s="1"/>
  <c r="P722" i="9"/>
  <c r="V722" i="9" s="1"/>
  <c r="P723" i="9"/>
  <c r="V723" i="9" s="1"/>
  <c r="P724" i="9"/>
  <c r="V724" i="9" s="1"/>
  <c r="P725" i="9"/>
  <c r="V725" i="9" s="1"/>
  <c r="P726" i="9"/>
  <c r="V726" i="9" s="1"/>
  <c r="P727" i="9"/>
  <c r="V727" i="9" s="1"/>
  <c r="P728" i="9"/>
  <c r="V728" i="9" s="1"/>
  <c r="P729" i="9"/>
  <c r="V729" i="9" s="1"/>
  <c r="P730" i="9"/>
  <c r="V730" i="9" s="1"/>
  <c r="P731" i="9"/>
  <c r="V731" i="9" s="1"/>
  <c r="P732" i="9"/>
  <c r="V732" i="9" s="1"/>
  <c r="P733" i="9"/>
  <c r="V733" i="9" s="1"/>
  <c r="P734" i="9"/>
  <c r="V734" i="9" s="1"/>
  <c r="P735" i="9"/>
  <c r="V735" i="9" s="1"/>
  <c r="P736" i="9"/>
  <c r="V736" i="9" s="1"/>
  <c r="P737" i="9"/>
  <c r="V737" i="9"/>
  <c r="P738" i="9"/>
  <c r="V738" i="9" s="1"/>
  <c r="P739" i="9"/>
  <c r="V739" i="9"/>
  <c r="P740" i="9"/>
  <c r="V740" i="9" s="1"/>
  <c r="V741" i="9"/>
  <c r="V742" i="9"/>
  <c r="V743" i="9"/>
  <c r="P744" i="9"/>
  <c r="V744" i="9" s="1"/>
  <c r="P745" i="9"/>
  <c r="P746" i="9"/>
  <c r="U747" i="9"/>
  <c r="T747" i="9"/>
  <c r="S703" i="9"/>
  <c r="S704" i="9"/>
  <c r="S705" i="9"/>
  <c r="S707" i="9"/>
  <c r="S709" i="9"/>
  <c r="S711" i="9"/>
  <c r="S712" i="9"/>
  <c r="S713" i="9"/>
  <c r="S714" i="9"/>
  <c r="S715" i="9"/>
  <c r="S716" i="9"/>
  <c r="S718" i="9"/>
  <c r="S719" i="9"/>
  <c r="S721" i="9"/>
  <c r="S722" i="9"/>
  <c r="S723" i="9"/>
  <c r="S725" i="9"/>
  <c r="S726" i="9"/>
  <c r="S727" i="9"/>
  <c r="S729" i="9"/>
  <c r="S730" i="9"/>
  <c r="S731" i="9"/>
  <c r="S733" i="9"/>
  <c r="S734" i="9"/>
  <c r="S735" i="9"/>
  <c r="S737" i="9"/>
  <c r="S738" i="9"/>
  <c r="S739" i="9"/>
  <c r="S741" i="9"/>
  <c r="S742" i="9"/>
  <c r="S743" i="9"/>
  <c r="R747" i="9"/>
  <c r="Q747" i="9"/>
  <c r="P747" i="9"/>
  <c r="K5" i="9" s="1"/>
  <c r="O747" i="9"/>
  <c r="N747" i="9"/>
  <c r="L747" i="9"/>
  <c r="K747" i="9"/>
  <c r="J747" i="9"/>
  <c r="I747" i="9"/>
  <c r="H747" i="9"/>
  <c r="B704" i="9"/>
  <c r="B705" i="9" s="1"/>
  <c r="B706" i="9" s="1"/>
  <c r="B707" i="9" s="1"/>
  <c r="B708" i="9" s="1"/>
  <c r="B709" i="9" s="1"/>
  <c r="B710" i="9" s="1"/>
  <c r="B711" i="9" s="1"/>
  <c r="B712" i="9" s="1"/>
  <c r="B713" i="9" s="1"/>
  <c r="B714" i="9" s="1"/>
  <c r="B715" i="9" s="1"/>
  <c r="B716" i="9" s="1"/>
  <c r="B717" i="9" s="1"/>
  <c r="B718" i="9" s="1"/>
  <c r="B719" i="9" s="1"/>
  <c r="B720" i="9" s="1"/>
  <c r="B721" i="9" s="1"/>
  <c r="B722" i="9" s="1"/>
  <c r="B723" i="9" s="1"/>
  <c r="B724" i="9" s="1"/>
  <c r="B725" i="9" s="1"/>
  <c r="B726" i="9" s="1"/>
  <c r="B727" i="9" s="1"/>
  <c r="B728" i="9" s="1"/>
  <c r="B729" i="9" s="1"/>
  <c r="B730" i="9" s="1"/>
  <c r="B731" i="9" s="1"/>
  <c r="B732" i="9" s="1"/>
  <c r="B733" i="9" s="1"/>
  <c r="B734" i="9" s="1"/>
  <c r="B735" i="9" s="1"/>
  <c r="B736" i="9" s="1"/>
  <c r="B737" i="9" s="1"/>
  <c r="B738" i="9" s="1"/>
  <c r="B739" i="9" s="1"/>
  <c r="B740" i="9" s="1"/>
  <c r="AE695" i="9"/>
  <c r="AD695" i="9"/>
  <c r="AC695" i="9"/>
  <c r="AB695" i="9"/>
  <c r="AA695" i="9"/>
  <c r="Z695" i="9"/>
  <c r="V688" i="9"/>
  <c r="P693" i="9"/>
  <c r="P695" i="9" s="1"/>
  <c r="V694" i="9"/>
  <c r="Y694" i="9" s="1"/>
  <c r="X695" i="9"/>
  <c r="W695" i="9"/>
  <c r="V689" i="9"/>
  <c r="V690" i="9"/>
  <c r="V691" i="9"/>
  <c r="V692" i="9"/>
  <c r="U695" i="9"/>
  <c r="T695" i="9"/>
  <c r="S688" i="9"/>
  <c r="S689" i="9"/>
  <c r="S695" i="9" s="1"/>
  <c r="S690" i="9"/>
  <c r="S691" i="9"/>
  <c r="S692" i="9"/>
  <c r="S693" i="9"/>
  <c r="S694" i="9"/>
  <c r="R695" i="9"/>
  <c r="Q695" i="9"/>
  <c r="O695" i="9"/>
  <c r="N695" i="9"/>
  <c r="M688" i="9"/>
  <c r="M694" i="9"/>
  <c r="L695" i="9"/>
  <c r="K695" i="9"/>
  <c r="AE574" i="9"/>
  <c r="AB576" i="9"/>
  <c r="AB577" i="9"/>
  <c r="AE577" i="9" s="1"/>
  <c r="AE579" i="9"/>
  <c r="AA580" i="9"/>
  <c r="AB580" i="9"/>
  <c r="AE580" i="9" s="1"/>
  <c r="AC580" i="9"/>
  <c r="AB585" i="9"/>
  <c r="AE585" i="9"/>
  <c r="Z590" i="9"/>
  <c r="AE590" i="9" s="1"/>
  <c r="AB593" i="9"/>
  <c r="AE593" i="9"/>
  <c r="AE597" i="9"/>
  <c r="AB604" i="9"/>
  <c r="AE604" i="9" s="1"/>
  <c r="AB627" i="9"/>
  <c r="AE627" i="9" s="1"/>
  <c r="Z628" i="9"/>
  <c r="AB629" i="9"/>
  <c r="AE629" i="9" s="1"/>
  <c r="AA631" i="9"/>
  <c r="AB631" i="9"/>
  <c r="AC631" i="9"/>
  <c r="AC684" i="9" s="1"/>
  <c r="AB635" i="9"/>
  <c r="AE635" i="9" s="1"/>
  <c r="AD684" i="9"/>
  <c r="Z580" i="9"/>
  <c r="Z631" i="9"/>
  <c r="P574" i="9"/>
  <c r="V575" i="9"/>
  <c r="Y575" i="9" s="1"/>
  <c r="V576" i="9"/>
  <c r="Y576" i="9" s="1"/>
  <c r="P577" i="9"/>
  <c r="V577" i="9" s="1"/>
  <c r="Y577" i="9" s="1"/>
  <c r="V579" i="9"/>
  <c r="Y579" i="9" s="1"/>
  <c r="V580" i="9"/>
  <c r="Y580" i="9" s="1"/>
  <c r="P581" i="9"/>
  <c r="P582" i="9"/>
  <c r="V582" i="9"/>
  <c r="Y582" i="9" s="1"/>
  <c r="P583" i="9"/>
  <c r="P584" i="9"/>
  <c r="V584" i="9" s="1"/>
  <c r="Y584" i="9" s="1"/>
  <c r="P585" i="9"/>
  <c r="P586" i="9"/>
  <c r="V586" i="9" s="1"/>
  <c r="Y586" i="9" s="1"/>
  <c r="V587" i="9"/>
  <c r="Y587" i="9" s="1"/>
  <c r="P588" i="9"/>
  <c r="V588" i="9" s="1"/>
  <c r="Y588" i="9" s="1"/>
  <c r="P589" i="9"/>
  <c r="V589" i="9" s="1"/>
  <c r="Y589" i="9" s="1"/>
  <c r="P590" i="9"/>
  <c r="V590" i="9" s="1"/>
  <c r="Y590" i="9" s="1"/>
  <c r="P591" i="9"/>
  <c r="V591" i="9" s="1"/>
  <c r="Y591" i="9" s="1"/>
  <c r="P592" i="9"/>
  <c r="V592" i="9" s="1"/>
  <c r="Y592" i="9" s="1"/>
  <c r="P593" i="9"/>
  <c r="V593" i="9"/>
  <c r="Y593" i="9" s="1"/>
  <c r="P594" i="9"/>
  <c r="V594" i="9" s="1"/>
  <c r="Y594" i="9" s="1"/>
  <c r="V595" i="9"/>
  <c r="Y595" i="9" s="1"/>
  <c r="V596" i="9"/>
  <c r="Y596" i="9" s="1"/>
  <c r="V597" i="9"/>
  <c r="Y597" i="9" s="1"/>
  <c r="V599" i="9"/>
  <c r="Y599" i="9" s="1"/>
  <c r="V600" i="9"/>
  <c r="Y600" i="9" s="1"/>
  <c r="P601" i="9"/>
  <c r="V601" i="9" s="1"/>
  <c r="Y601" i="9" s="1"/>
  <c r="V602" i="9"/>
  <c r="Y602" i="9" s="1"/>
  <c r="P603" i="9"/>
  <c r="P604" i="9"/>
  <c r="V604" i="9" s="1"/>
  <c r="Y604" i="9" s="1"/>
  <c r="P605" i="9"/>
  <c r="P606" i="9"/>
  <c r="V606" i="9"/>
  <c r="Y606" i="9" s="1"/>
  <c r="P607" i="9"/>
  <c r="P608" i="9"/>
  <c r="V608" i="9" s="1"/>
  <c r="Y608" i="9" s="1"/>
  <c r="P609" i="9"/>
  <c r="P610" i="9"/>
  <c r="V610" i="9" s="1"/>
  <c r="Y610" i="9" s="1"/>
  <c r="V611" i="9"/>
  <c r="Y611" i="9" s="1"/>
  <c r="P612" i="9"/>
  <c r="V612" i="9" s="1"/>
  <c r="Y612" i="9" s="1"/>
  <c r="P613" i="9"/>
  <c r="V613" i="9" s="1"/>
  <c r="Y613" i="9" s="1"/>
  <c r="P614" i="9"/>
  <c r="V614" i="9" s="1"/>
  <c r="Y614" i="9" s="1"/>
  <c r="P615" i="9"/>
  <c r="V615" i="9" s="1"/>
  <c r="Y615" i="9" s="1"/>
  <c r="P616" i="9"/>
  <c r="V616" i="9" s="1"/>
  <c r="Y616" i="9" s="1"/>
  <c r="P617" i="9"/>
  <c r="V617" i="9"/>
  <c r="Y617" i="9" s="1"/>
  <c r="P618" i="9"/>
  <c r="P619" i="9"/>
  <c r="V619" i="9" s="1"/>
  <c r="Y619" i="9" s="1"/>
  <c r="P620" i="9"/>
  <c r="V620" i="9" s="1"/>
  <c r="Y620" i="9" s="1"/>
  <c r="P621" i="9"/>
  <c r="V621" i="9" s="1"/>
  <c r="Y621" i="9" s="1"/>
  <c r="P622" i="9"/>
  <c r="V622" i="9" s="1"/>
  <c r="Y622" i="9" s="1"/>
  <c r="P623" i="9"/>
  <c r="V623" i="9" s="1"/>
  <c r="Y623" i="9" s="1"/>
  <c r="P624" i="9"/>
  <c r="V624" i="9" s="1"/>
  <c r="Y624" i="9" s="1"/>
  <c r="P625" i="9"/>
  <c r="V625" i="9"/>
  <c r="Y625" i="9" s="1"/>
  <c r="V626" i="9"/>
  <c r="Y626" i="9" s="1"/>
  <c r="V627" i="9"/>
  <c r="Y627" i="9" s="1"/>
  <c r="V629" i="9"/>
  <c r="Y629" i="9" s="1"/>
  <c r="P630" i="9"/>
  <c r="V630" i="9" s="1"/>
  <c r="Y630" i="9" s="1"/>
  <c r="X684" i="9"/>
  <c r="W684" i="9"/>
  <c r="V631" i="9"/>
  <c r="V632" i="9"/>
  <c r="V633" i="9"/>
  <c r="V634" i="9"/>
  <c r="V637" i="9"/>
  <c r="V638" i="9"/>
  <c r="V639" i="9"/>
  <c r="V640" i="9"/>
  <c r="V641" i="9"/>
  <c r="V642" i="9"/>
  <c r="V643" i="9"/>
  <c r="V644" i="9"/>
  <c r="V645" i="9"/>
  <c r="V646" i="9"/>
  <c r="V647" i="9"/>
  <c r="V648" i="9"/>
  <c r="V649" i="9"/>
  <c r="V650" i="9"/>
  <c r="V651" i="9"/>
  <c r="V652" i="9"/>
  <c r="V653" i="9"/>
  <c r="V654" i="9"/>
  <c r="V655" i="9"/>
  <c r="V656" i="9"/>
  <c r="V657" i="9"/>
  <c r="V658" i="9"/>
  <c r="V659" i="9"/>
  <c r="V660" i="9"/>
  <c r="V661" i="9"/>
  <c r="V662" i="9"/>
  <c r="V663" i="9"/>
  <c r="V664" i="9"/>
  <c r="V665" i="9"/>
  <c r="V666" i="9"/>
  <c r="V667" i="9"/>
  <c r="V668" i="9"/>
  <c r="V669" i="9"/>
  <c r="V670" i="9"/>
  <c r="V671" i="9"/>
  <c r="V672" i="9"/>
  <c r="V673" i="9"/>
  <c r="V674" i="9"/>
  <c r="V675" i="9"/>
  <c r="V676" i="9"/>
  <c r="V677" i="9"/>
  <c r="V678" i="9"/>
  <c r="V679" i="9"/>
  <c r="V680" i="9"/>
  <c r="V681" i="9"/>
  <c r="V682" i="9"/>
  <c r="V683" i="9"/>
  <c r="U684" i="9"/>
  <c r="T684" i="9"/>
  <c r="S575" i="9"/>
  <c r="S576" i="9"/>
  <c r="S577" i="9"/>
  <c r="S578" i="9"/>
  <c r="S579" i="9"/>
  <c r="S580" i="9"/>
  <c r="S582" i="9"/>
  <c r="S584" i="9"/>
  <c r="S586" i="9"/>
  <c r="S587" i="9"/>
  <c r="S590" i="9"/>
  <c r="S593" i="9"/>
  <c r="S594" i="9"/>
  <c r="S595" i="9"/>
  <c r="S596" i="9"/>
  <c r="S597" i="9"/>
  <c r="S598" i="9"/>
  <c r="S599" i="9"/>
  <c r="S600" i="9"/>
  <c r="S601" i="9"/>
  <c r="S602" i="9"/>
  <c r="S604" i="9"/>
  <c r="S606" i="9"/>
  <c r="S608" i="9"/>
  <c r="S611" i="9"/>
  <c r="S614" i="9"/>
  <c r="S617" i="9"/>
  <c r="S618" i="9"/>
  <c r="S621" i="9"/>
  <c r="S625" i="9"/>
  <c r="S626" i="9"/>
  <c r="S627" i="9"/>
  <c r="S628" i="9"/>
  <c r="S629" i="9"/>
  <c r="S631" i="9"/>
  <c r="S632" i="9"/>
  <c r="S633" i="9"/>
  <c r="S634" i="9"/>
  <c r="S635" i="9"/>
  <c r="S636" i="9"/>
  <c r="S637" i="9"/>
  <c r="S638" i="9"/>
  <c r="S639" i="9"/>
  <c r="S640" i="9"/>
  <c r="S641" i="9"/>
  <c r="S642" i="9"/>
  <c r="S643" i="9"/>
  <c r="S644" i="9"/>
  <c r="S652" i="9"/>
  <c r="S653" i="9"/>
  <c r="S654" i="9"/>
  <c r="S655" i="9"/>
  <c r="S656" i="9"/>
  <c r="S657" i="9"/>
  <c r="S658" i="9"/>
  <c r="S659" i="9"/>
  <c r="S660" i="9"/>
  <c r="S661" i="9"/>
  <c r="S662" i="9"/>
  <c r="S663" i="9"/>
  <c r="S664" i="9"/>
  <c r="S665" i="9"/>
  <c r="S666" i="9"/>
  <c r="S667" i="9"/>
  <c r="S668" i="9"/>
  <c r="S669" i="9"/>
  <c r="S670" i="9"/>
  <c r="S671" i="9"/>
  <c r="S672" i="9"/>
  <c r="S673" i="9"/>
  <c r="S674" i="9"/>
  <c r="S675" i="9"/>
  <c r="S676" i="9"/>
  <c r="S677" i="9"/>
  <c r="S678" i="9"/>
  <c r="S679" i="9"/>
  <c r="S680" i="9"/>
  <c r="S681" i="9"/>
  <c r="S682" i="9"/>
  <c r="S683" i="9"/>
  <c r="R684" i="9"/>
  <c r="Q684" i="9"/>
  <c r="O684" i="9"/>
  <c r="N684" i="9"/>
  <c r="M574" i="9"/>
  <c r="M575" i="9"/>
  <c r="M576" i="9"/>
  <c r="M577" i="9"/>
  <c r="M578" i="9"/>
  <c r="M579" i="9"/>
  <c r="M580" i="9"/>
  <c r="M581" i="9"/>
  <c r="M582" i="9"/>
  <c r="M583" i="9"/>
  <c r="M584" i="9"/>
  <c r="M585" i="9"/>
  <c r="M586" i="9"/>
  <c r="M587" i="9"/>
  <c r="M588" i="9"/>
  <c r="M589" i="9"/>
  <c r="M590" i="9"/>
  <c r="M591" i="9"/>
  <c r="M592" i="9"/>
  <c r="M593" i="9"/>
  <c r="M594" i="9"/>
  <c r="M595" i="9"/>
  <c r="M596" i="9"/>
  <c r="M597"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82" i="9"/>
  <c r="M683" i="9"/>
  <c r="L684" i="9"/>
  <c r="K684" i="9"/>
  <c r="I684" i="9"/>
  <c r="H684" i="9"/>
  <c r="AF625" i="9"/>
  <c r="AI625" i="9" s="1"/>
  <c r="AF577" i="9"/>
  <c r="AF574" i="9"/>
  <c r="I567" i="9"/>
  <c r="I552" i="9"/>
  <c r="AE569" i="9"/>
  <c r="AD569" i="9"/>
  <c r="AC569" i="9"/>
  <c r="AB569" i="9"/>
  <c r="AA569" i="9"/>
  <c r="Z569" i="9"/>
  <c r="U568" i="9"/>
  <c r="Y568" i="9"/>
  <c r="Y569" i="9" s="1"/>
  <c r="X569" i="9"/>
  <c r="W569" i="9"/>
  <c r="V569" i="9"/>
  <c r="U569" i="9"/>
  <c r="T569" i="9"/>
  <c r="S568" i="9"/>
  <c r="S569" i="9" s="1"/>
  <c r="R569" i="9"/>
  <c r="Q569" i="9"/>
  <c r="P569" i="9"/>
  <c r="O569" i="9"/>
  <c r="N569" i="9"/>
  <c r="M568" i="9"/>
  <c r="M569" i="9" s="1"/>
  <c r="L569" i="9"/>
  <c r="K569" i="9"/>
  <c r="J569" i="9"/>
  <c r="H569" i="9"/>
  <c r="AE564" i="9"/>
  <c r="AD564" i="9"/>
  <c r="AC564" i="9"/>
  <c r="AB564" i="9"/>
  <c r="AA564" i="9"/>
  <c r="Z564" i="9"/>
  <c r="U553" i="9"/>
  <c r="U554" i="9"/>
  <c r="Y554" i="9" s="1"/>
  <c r="U555" i="9"/>
  <c r="Y555" i="9" s="1"/>
  <c r="O556" i="9"/>
  <c r="U557" i="9"/>
  <c r="Y557" i="9" s="1"/>
  <c r="U558" i="9"/>
  <c r="Y558" i="9" s="1"/>
  <c r="U559" i="9"/>
  <c r="Y559" i="9" s="1"/>
  <c r="U560" i="9"/>
  <c r="Y560" i="9" s="1"/>
  <c r="O561" i="9"/>
  <c r="U561" i="9" s="1"/>
  <c r="Y561" i="9" s="1"/>
  <c r="O562" i="9"/>
  <c r="O563" i="9"/>
  <c r="U563" i="9" s="1"/>
  <c r="Y563" i="9" s="1"/>
  <c r="X564" i="9"/>
  <c r="W564" i="9"/>
  <c r="V564" i="9"/>
  <c r="T564" i="9"/>
  <c r="S553" i="9"/>
  <c r="S554" i="9"/>
  <c r="S555" i="9"/>
  <c r="S557" i="9"/>
  <c r="S558" i="9"/>
  <c r="S559" i="9"/>
  <c r="S560" i="9"/>
  <c r="S561" i="9"/>
  <c r="R564" i="9"/>
  <c r="Q564" i="9"/>
  <c r="P564" i="9"/>
  <c r="N564" i="9"/>
  <c r="M553" i="9"/>
  <c r="M554" i="9"/>
  <c r="M555" i="9"/>
  <c r="M556" i="9"/>
  <c r="M557" i="9"/>
  <c r="M558" i="9"/>
  <c r="M559" i="9"/>
  <c r="M560" i="9"/>
  <c r="M561" i="9"/>
  <c r="M562" i="9"/>
  <c r="M563" i="9"/>
  <c r="L564" i="9"/>
  <c r="K564" i="9"/>
  <c r="J564" i="9"/>
  <c r="H564" i="9"/>
  <c r="AA484" i="9"/>
  <c r="AE484" i="9" s="1"/>
  <c r="AE485" i="9"/>
  <c r="AA486" i="9"/>
  <c r="AE486" i="9" s="1"/>
  <c r="AE489" i="9"/>
  <c r="Z520" i="9"/>
  <c r="AE520" i="9"/>
  <c r="AE521" i="9"/>
  <c r="AB522" i="9"/>
  <c r="AE525" i="9"/>
  <c r="Z526" i="9"/>
  <c r="AE526" i="9" s="1"/>
  <c r="Z527" i="9"/>
  <c r="AE527" i="9" s="1"/>
  <c r="AB528" i="9"/>
  <c r="AE528" i="9" s="1"/>
  <c r="AE529" i="9"/>
  <c r="AD549" i="9"/>
  <c r="AC549" i="9"/>
  <c r="U483" i="9"/>
  <c r="O484" i="9"/>
  <c r="O485" i="9"/>
  <c r="U485" i="9" s="1"/>
  <c r="Y485" i="9" s="1"/>
  <c r="O486" i="9"/>
  <c r="O487" i="9"/>
  <c r="U487" i="9" s="1"/>
  <c r="Y487" i="9" s="1"/>
  <c r="U488" i="9"/>
  <c r="Y488" i="9" s="1"/>
  <c r="O489" i="9"/>
  <c r="O490" i="9"/>
  <c r="U490" i="9" s="1"/>
  <c r="Y490" i="9" s="1"/>
  <c r="O491" i="9"/>
  <c r="O492" i="9"/>
  <c r="O493" i="9"/>
  <c r="O494" i="9"/>
  <c r="U494" i="9" s="1"/>
  <c r="Y494" i="9" s="1"/>
  <c r="O495" i="9"/>
  <c r="O496" i="9"/>
  <c r="U496" i="9"/>
  <c r="Y496" i="9" s="1"/>
  <c r="O497" i="9"/>
  <c r="U498" i="9"/>
  <c r="Y498" i="9" s="1"/>
  <c r="U499" i="9"/>
  <c r="Y499" i="9" s="1"/>
  <c r="O500" i="9"/>
  <c r="U500" i="9" s="1"/>
  <c r="Y500" i="9" s="1"/>
  <c r="O501" i="9"/>
  <c r="O502" i="9"/>
  <c r="U502" i="9" s="1"/>
  <c r="Y502" i="9" s="1"/>
  <c r="U503" i="9"/>
  <c r="Y503" i="9" s="1"/>
  <c r="U504" i="9"/>
  <c r="Y504" i="9" s="1"/>
  <c r="O505" i="9"/>
  <c r="O506" i="9"/>
  <c r="U506" i="9" s="1"/>
  <c r="Y506" i="9" s="1"/>
  <c r="O507" i="9"/>
  <c r="O508" i="9"/>
  <c r="U508" i="9" s="1"/>
  <c r="Y508" i="9" s="1"/>
  <c r="O509" i="9"/>
  <c r="O510" i="9"/>
  <c r="U510" i="9" s="1"/>
  <c r="Y510" i="9" s="1"/>
  <c r="O511" i="9"/>
  <c r="O512" i="9"/>
  <c r="U512" i="9" s="1"/>
  <c r="Y512" i="9" s="1"/>
  <c r="O513" i="9"/>
  <c r="O514" i="9"/>
  <c r="U514" i="9" s="1"/>
  <c r="Y514" i="9" s="1"/>
  <c r="O515" i="9"/>
  <c r="O516" i="9"/>
  <c r="U516" i="9"/>
  <c r="Y516" i="9" s="1"/>
  <c r="O517" i="9"/>
  <c r="U519" i="9"/>
  <c r="Y519" i="9" s="1"/>
  <c r="U520" i="9"/>
  <c r="Y520" i="9" s="1"/>
  <c r="U521" i="9"/>
  <c r="Y521" i="9" s="1"/>
  <c r="U522" i="9"/>
  <c r="Y522" i="9" s="1"/>
  <c r="U523" i="9"/>
  <c r="Y523" i="9" s="1"/>
  <c r="U524" i="9"/>
  <c r="Y524" i="9" s="1"/>
  <c r="O525" i="9"/>
  <c r="U525" i="9" s="1"/>
  <c r="Y525" i="9" s="1"/>
  <c r="U526" i="9"/>
  <c r="Y526" i="9" s="1"/>
  <c r="U527" i="9"/>
  <c r="Y527" i="9" s="1"/>
  <c r="U528" i="9"/>
  <c r="Y528" i="9" s="1"/>
  <c r="U529" i="9"/>
  <c r="Y529" i="9" s="1"/>
  <c r="U530" i="9"/>
  <c r="Y530" i="9" s="1"/>
  <c r="O531" i="9"/>
  <c r="U531" i="9" s="1"/>
  <c r="Y531" i="9" s="1"/>
  <c r="X549" i="9"/>
  <c r="W549" i="9"/>
  <c r="V549" i="9"/>
  <c r="U532" i="9"/>
  <c r="U533" i="9"/>
  <c r="U534" i="9"/>
  <c r="U535" i="9"/>
  <c r="U536" i="9"/>
  <c r="U537" i="9"/>
  <c r="U538" i="9"/>
  <c r="U539" i="9"/>
  <c r="U540" i="9"/>
  <c r="U541" i="9"/>
  <c r="U542" i="9"/>
  <c r="U543" i="9"/>
  <c r="U544" i="9"/>
  <c r="U545" i="9"/>
  <c r="U546" i="9"/>
  <c r="U547" i="9"/>
  <c r="U548" i="9"/>
  <c r="T549" i="9"/>
  <c r="S483" i="9"/>
  <c r="S485" i="9"/>
  <c r="S488" i="9"/>
  <c r="S490" i="9"/>
  <c r="S492" i="9"/>
  <c r="S496" i="9"/>
  <c r="S498" i="9"/>
  <c r="S499" i="9"/>
  <c r="S500" i="9"/>
  <c r="S502" i="9"/>
  <c r="S503" i="9"/>
  <c r="S504" i="9"/>
  <c r="S506" i="9"/>
  <c r="S508" i="9"/>
  <c r="S510" i="9"/>
  <c r="S512" i="9"/>
  <c r="S516"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R549" i="9"/>
  <c r="Q549" i="9"/>
  <c r="P549" i="9"/>
  <c r="N549" i="9"/>
  <c r="M483" i="9"/>
  <c r="M484" i="9"/>
  <c r="M485" i="9"/>
  <c r="M486" i="9"/>
  <c r="M487" i="9"/>
  <c r="M488" i="9"/>
  <c r="M489" i="9"/>
  <c r="M490" i="9"/>
  <c r="M491" i="9"/>
  <c r="M493" i="9"/>
  <c r="M494" i="9"/>
  <c r="M495" i="9"/>
  <c r="M496" i="9"/>
  <c r="M498" i="9"/>
  <c r="M499" i="9"/>
  <c r="M500" i="9"/>
  <c r="M501" i="9"/>
  <c r="M502" i="9"/>
  <c r="M503" i="9"/>
  <c r="M504" i="9"/>
  <c r="M505" i="9"/>
  <c r="M506" i="9"/>
  <c r="M507" i="9"/>
  <c r="M508" i="9"/>
  <c r="M509" i="9"/>
  <c r="M510" i="9"/>
  <c r="M511" i="9"/>
  <c r="M512" i="9"/>
  <c r="M513" i="9"/>
  <c r="M514" i="9"/>
  <c r="M515" i="9"/>
  <c r="M516" i="9"/>
  <c r="M517" i="9"/>
  <c r="M519" i="9"/>
  <c r="M520" i="9"/>
  <c r="M521" i="9"/>
  <c r="M522" i="9"/>
  <c r="M523" i="9"/>
  <c r="M524" i="9"/>
  <c r="M525" i="9"/>
  <c r="M526" i="9"/>
  <c r="M527" i="9"/>
  <c r="M528" i="9"/>
  <c r="M529" i="9"/>
  <c r="M530" i="9"/>
  <c r="M531" i="9"/>
  <c r="M532" i="9"/>
  <c r="L549" i="9"/>
  <c r="K549" i="9"/>
  <c r="J549" i="9"/>
  <c r="H549" i="9"/>
  <c r="H464" i="9"/>
  <c r="H473" i="9"/>
  <c r="AE477" i="9"/>
  <c r="AD477" i="9"/>
  <c r="AC477" i="9"/>
  <c r="AB477" i="9"/>
  <c r="AA477" i="9"/>
  <c r="Z477" i="9"/>
  <c r="T474" i="9"/>
  <c r="T475" i="9"/>
  <c r="Y475" i="9" s="1"/>
  <c r="Y476" i="9"/>
  <c r="X477" i="9"/>
  <c r="W477" i="9"/>
  <c r="V477" i="9"/>
  <c r="U477" i="9"/>
  <c r="S474" i="9"/>
  <c r="S475" i="9"/>
  <c r="S476" i="9"/>
  <c r="R477" i="9"/>
  <c r="Q477" i="9"/>
  <c r="P477" i="9"/>
  <c r="O477" i="9"/>
  <c r="N477" i="9"/>
  <c r="M474" i="9"/>
  <c r="M475" i="9"/>
  <c r="M476" i="9"/>
  <c r="L477" i="9"/>
  <c r="K477" i="9"/>
  <c r="J477" i="9"/>
  <c r="I477" i="9"/>
  <c r="F477" i="9"/>
  <c r="E477" i="9"/>
  <c r="AE470" i="9"/>
  <c r="AD470" i="9"/>
  <c r="AC470" i="9"/>
  <c r="AB470" i="9"/>
  <c r="AA470" i="9"/>
  <c r="Z470" i="9"/>
  <c r="T465" i="9"/>
  <c r="T466" i="9"/>
  <c r="Y466" i="9" s="1"/>
  <c r="T467" i="9"/>
  <c r="Y467" i="9" s="1"/>
  <c r="T468" i="9"/>
  <c r="Y468" i="9" s="1"/>
  <c r="T469" i="9"/>
  <c r="Y469" i="9" s="1"/>
  <c r="X470" i="9"/>
  <c r="W470" i="9"/>
  <c r="V470" i="9"/>
  <c r="U470" i="9"/>
  <c r="S465" i="9"/>
  <c r="S466" i="9"/>
  <c r="S467" i="9"/>
  <c r="S468" i="9"/>
  <c r="S469" i="9"/>
  <c r="R470" i="9"/>
  <c r="Q470" i="9"/>
  <c r="P470" i="9"/>
  <c r="O470" i="9"/>
  <c r="N470" i="9"/>
  <c r="M465" i="9"/>
  <c r="M470" i="9" s="1"/>
  <c r="M466" i="9"/>
  <c r="M467" i="9"/>
  <c r="M468" i="9"/>
  <c r="M469" i="9"/>
  <c r="L470" i="9"/>
  <c r="K470" i="9"/>
  <c r="J470" i="9"/>
  <c r="I470" i="9"/>
  <c r="F470" i="9"/>
  <c r="Z393" i="9"/>
  <c r="AE393" i="9" s="1"/>
  <c r="Z395" i="9"/>
  <c r="AE395" i="9" s="1"/>
  <c r="Z396" i="9"/>
  <c r="AE396" i="9" s="1"/>
  <c r="Z405" i="9"/>
  <c r="AE405" i="9" s="1"/>
  <c r="Z410" i="9"/>
  <c r="AE410" i="9" s="1"/>
  <c r="AE411" i="9"/>
  <c r="Z439" i="9"/>
  <c r="AE439" i="9" s="1"/>
  <c r="Z453" i="9"/>
  <c r="AE453" i="9" s="1"/>
  <c r="AD459" i="9"/>
  <c r="AC459" i="9"/>
  <c r="AB459" i="9"/>
  <c r="AA459" i="9"/>
  <c r="Z459" i="9"/>
  <c r="N375" i="9"/>
  <c r="T375" i="9" s="1"/>
  <c r="N376" i="9"/>
  <c r="T376" i="9"/>
  <c r="Y376" i="9" s="1"/>
  <c r="T378" i="9"/>
  <c r="Y378" i="9" s="1"/>
  <c r="T379" i="9"/>
  <c r="Y379" i="9" s="1"/>
  <c r="N380" i="9"/>
  <c r="N381" i="9"/>
  <c r="T381" i="9" s="1"/>
  <c r="Y381" i="9" s="1"/>
  <c r="T382" i="9"/>
  <c r="Y382" i="9" s="1"/>
  <c r="N383" i="9"/>
  <c r="T383" i="9" s="1"/>
  <c r="Y383" i="9" s="1"/>
  <c r="T384" i="9"/>
  <c r="Y384" i="9" s="1"/>
  <c r="N385" i="9"/>
  <c r="T385" i="9" s="1"/>
  <c r="Y385" i="9" s="1"/>
  <c r="T386" i="9"/>
  <c r="Y386" i="9" s="1"/>
  <c r="T387" i="9"/>
  <c r="Y387" i="9" s="1"/>
  <c r="T388" i="9"/>
  <c r="Y388" i="9" s="1"/>
  <c r="T389" i="9"/>
  <c r="Y389" i="9" s="1"/>
  <c r="T390" i="9"/>
  <c r="Y390" i="9" s="1"/>
  <c r="N391" i="9"/>
  <c r="T391" i="9" s="1"/>
  <c r="Y391" i="9" s="1"/>
  <c r="T392" i="9"/>
  <c r="Y392" i="9" s="1"/>
  <c r="T393" i="9"/>
  <c r="Y393" i="9" s="1"/>
  <c r="N394" i="9"/>
  <c r="T395" i="9"/>
  <c r="Y395" i="9" s="1"/>
  <c r="N396" i="9"/>
  <c r="T397" i="9"/>
  <c r="Y397" i="9" s="1"/>
  <c r="N398" i="9"/>
  <c r="T398" i="9" s="1"/>
  <c r="Y398" i="9" s="1"/>
  <c r="N399" i="9"/>
  <c r="N400" i="9"/>
  <c r="T400" i="9" s="1"/>
  <c r="Y400" i="9" s="1"/>
  <c r="T402" i="9"/>
  <c r="Y402" i="9" s="1"/>
  <c r="T403" i="9"/>
  <c r="Y403" i="9" s="1"/>
  <c r="N404" i="9"/>
  <c r="N405" i="9"/>
  <c r="T405" i="9" s="1"/>
  <c r="Y405" i="9" s="1"/>
  <c r="T406" i="9"/>
  <c r="Y406" i="9" s="1"/>
  <c r="T407" i="9"/>
  <c r="Y407" i="9" s="1"/>
  <c r="T408" i="9"/>
  <c r="Y408" i="9" s="1"/>
  <c r="T409" i="9"/>
  <c r="Y409" i="9" s="1"/>
  <c r="N410" i="9"/>
  <c r="N411" i="9"/>
  <c r="T411" i="9" s="1"/>
  <c r="Y411" i="9" s="1"/>
  <c r="T412" i="9"/>
  <c r="Y412" i="9" s="1"/>
  <c r="T413" i="9"/>
  <c r="Y413" i="9" s="1"/>
  <c r="N414" i="9"/>
  <c r="T415" i="9"/>
  <c r="Y415" i="9" s="1"/>
  <c r="T416" i="9"/>
  <c r="Y416" i="9" s="1"/>
  <c r="T417" i="9"/>
  <c r="Y417" i="9" s="1"/>
  <c r="T418" i="9"/>
  <c r="Y418" i="9" s="1"/>
  <c r="T419" i="9"/>
  <c r="Y419" i="9" s="1"/>
  <c r="T420" i="9"/>
  <c r="Y420" i="9" s="1"/>
  <c r="T421" i="9"/>
  <c r="Y421" i="9" s="1"/>
  <c r="T422" i="9"/>
  <c r="Y422" i="9" s="1"/>
  <c r="T423" i="9"/>
  <c r="Y423" i="9" s="1"/>
  <c r="T425" i="9"/>
  <c r="Y425" i="9" s="1"/>
  <c r="T426" i="9"/>
  <c r="Y426" i="9" s="1"/>
  <c r="T427" i="9"/>
  <c r="Y427" i="9" s="1"/>
  <c r="T428" i="9"/>
  <c r="Y428" i="9" s="1"/>
  <c r="T429" i="9"/>
  <c r="Y429" i="9" s="1"/>
  <c r="Y430" i="9"/>
  <c r="T431" i="9"/>
  <c r="Y431" i="9" s="1"/>
  <c r="T432" i="9"/>
  <c r="Y432" i="9"/>
  <c r="T433" i="9"/>
  <c r="Y433" i="9" s="1"/>
  <c r="T434" i="9"/>
  <c r="Y434" i="9"/>
  <c r="T435" i="9"/>
  <c r="Y435" i="9" s="1"/>
  <c r="T436" i="9"/>
  <c r="Y436" i="9"/>
  <c r="N437" i="9"/>
  <c r="T437" i="9" s="1"/>
  <c r="Y437" i="9" s="1"/>
  <c r="T438" i="9"/>
  <c r="Y438" i="9" s="1"/>
  <c r="N439" i="9"/>
  <c r="T439" i="9" s="1"/>
  <c r="Y439" i="9" s="1"/>
  <c r="T440" i="9"/>
  <c r="Y440" i="9" s="1"/>
  <c r="T441" i="9"/>
  <c r="Y441" i="9"/>
  <c r="T442" i="9"/>
  <c r="Y442" i="9" s="1"/>
  <c r="N443" i="9"/>
  <c r="T443" i="9"/>
  <c r="Y443" i="9" s="1"/>
  <c r="N444" i="9"/>
  <c r="T445" i="9"/>
  <c r="Y445" i="9" s="1"/>
  <c r="T446" i="9"/>
  <c r="Y446" i="9" s="1"/>
  <c r="N447" i="9"/>
  <c r="T448" i="9"/>
  <c r="Y448" i="9" s="1"/>
  <c r="T449" i="9"/>
  <c r="Y449" i="9" s="1"/>
  <c r="T450" i="9"/>
  <c r="Y450" i="9" s="1"/>
  <c r="T451" i="9"/>
  <c r="Y451" i="9" s="1"/>
  <c r="N452" i="9"/>
  <c r="N453" i="9"/>
  <c r="T453" i="9" s="1"/>
  <c r="Y453" i="9" s="1"/>
  <c r="T454" i="9"/>
  <c r="Y454" i="9" s="1"/>
  <c r="N455" i="9"/>
  <c r="T455" i="9" s="1"/>
  <c r="Y455" i="9" s="1"/>
  <c r="N456" i="9"/>
  <c r="T458" i="9"/>
  <c r="Y458" i="9" s="1"/>
  <c r="X459" i="9"/>
  <c r="W459" i="9"/>
  <c r="V459" i="9"/>
  <c r="U459" i="9"/>
  <c r="S375" i="9"/>
  <c r="S376" i="9"/>
  <c r="S377" i="9"/>
  <c r="S378" i="9"/>
  <c r="S379" i="9"/>
  <c r="S381" i="9"/>
  <c r="S382" i="9"/>
  <c r="S384" i="9"/>
  <c r="S386" i="9"/>
  <c r="S387" i="9"/>
  <c r="S388" i="9"/>
  <c r="S389" i="9"/>
  <c r="S390" i="9"/>
  <c r="S392" i="9"/>
  <c r="S393" i="9"/>
  <c r="S395" i="9"/>
  <c r="S397" i="9"/>
  <c r="S398" i="9"/>
  <c r="S400" i="9"/>
  <c r="S401" i="9"/>
  <c r="S402" i="9"/>
  <c r="S403" i="9"/>
  <c r="S406" i="9"/>
  <c r="S407" i="9"/>
  <c r="S408" i="9"/>
  <c r="S409" i="9"/>
  <c r="S412" i="9"/>
  <c r="S413" i="9"/>
  <c r="S415" i="9"/>
  <c r="S416" i="9"/>
  <c r="S417" i="9"/>
  <c r="S418" i="9"/>
  <c r="S419" i="9"/>
  <c r="S420" i="9"/>
  <c r="S421" i="9"/>
  <c r="S422" i="9"/>
  <c r="S423" i="9"/>
  <c r="S424" i="9"/>
  <c r="S425" i="9"/>
  <c r="S426" i="9"/>
  <c r="S427" i="9"/>
  <c r="S428" i="9"/>
  <c r="S429" i="9"/>
  <c r="S430" i="9"/>
  <c r="S431" i="9"/>
  <c r="S432" i="9"/>
  <c r="S433" i="9"/>
  <c r="S434" i="9"/>
  <c r="S435" i="9"/>
  <c r="S436" i="9"/>
  <c r="S437" i="9"/>
  <c r="S438" i="9"/>
  <c r="S440" i="9"/>
  <c r="S441" i="9"/>
  <c r="S442" i="9"/>
  <c r="S443" i="9"/>
  <c r="S445" i="9"/>
  <c r="S446" i="9"/>
  <c r="S448" i="9"/>
  <c r="S449" i="9"/>
  <c r="S450" i="9"/>
  <c r="S451" i="9"/>
  <c r="S453" i="9"/>
  <c r="S454" i="9"/>
  <c r="S455" i="9"/>
  <c r="S458" i="9"/>
  <c r="R459" i="9"/>
  <c r="Q459" i="9"/>
  <c r="P459" i="9"/>
  <c r="O459" i="9"/>
  <c r="M375" i="9"/>
  <c r="M376" i="9"/>
  <c r="M378" i="9"/>
  <c r="M379" i="9"/>
  <c r="M380" i="9"/>
  <c r="M381" i="9"/>
  <c r="M382" i="9"/>
  <c r="M383" i="9"/>
  <c r="M384" i="9"/>
  <c r="M385" i="9"/>
  <c r="M386" i="9"/>
  <c r="M387" i="9"/>
  <c r="M388" i="9"/>
  <c r="M389" i="9"/>
  <c r="M390" i="9"/>
  <c r="M391" i="9"/>
  <c r="M392" i="9"/>
  <c r="M393" i="9"/>
  <c r="M394" i="9"/>
  <c r="M395" i="9"/>
  <c r="M396" i="9"/>
  <c r="M397" i="9"/>
  <c r="M398" i="9"/>
  <c r="M399" i="9"/>
  <c r="M400" i="9"/>
  <c r="M402" i="9"/>
  <c r="M403" i="9"/>
  <c r="M404" i="9"/>
  <c r="M405" i="9"/>
  <c r="M406" i="9"/>
  <c r="M407" i="9"/>
  <c r="M408" i="9"/>
  <c r="M409" i="9"/>
  <c r="M410" i="9"/>
  <c r="M411" i="9"/>
  <c r="M412" i="9"/>
  <c r="M413" i="9"/>
  <c r="M414" i="9"/>
  <c r="M415" i="9"/>
  <c r="M416" i="9"/>
  <c r="M417" i="9"/>
  <c r="M418" i="9"/>
  <c r="M419" i="9"/>
  <c r="M420" i="9"/>
  <c r="M421" i="9"/>
  <c r="M422" i="9"/>
  <c r="M423" i="9"/>
  <c r="M425" i="9"/>
  <c r="M426" i="9"/>
  <c r="M427" i="9"/>
  <c r="M428" i="9"/>
  <c r="M429" i="9"/>
  <c r="M431" i="9"/>
  <c r="M432" i="9"/>
  <c r="M433" i="9"/>
  <c r="M434" i="9"/>
  <c r="M435" i="9"/>
  <c r="M436" i="9"/>
  <c r="M437" i="9"/>
  <c r="M438" i="9"/>
  <c r="M439" i="9"/>
  <c r="M440" i="9"/>
  <c r="M441" i="9"/>
  <c r="M442" i="9"/>
  <c r="M444" i="9"/>
  <c r="M445" i="9"/>
  <c r="M446" i="9"/>
  <c r="M447" i="9"/>
  <c r="M448" i="9"/>
  <c r="M449" i="9"/>
  <c r="M450" i="9"/>
  <c r="M451" i="9"/>
  <c r="M452" i="9"/>
  <c r="M453" i="9"/>
  <c r="M454" i="9"/>
  <c r="M455" i="9"/>
  <c r="M456" i="9"/>
  <c r="M458" i="9"/>
  <c r="L459" i="9"/>
  <c r="K459" i="9"/>
  <c r="J459" i="9"/>
  <c r="I459" i="9"/>
  <c r="B455" i="9"/>
  <c r="B456" i="9" s="1"/>
  <c r="B449" i="9"/>
  <c r="B450" i="9" s="1"/>
  <c r="B451" i="9" s="1"/>
  <c r="B446" i="9"/>
  <c r="B447" i="9" s="1"/>
  <c r="B436" i="9"/>
  <c r="B437" i="9" s="1"/>
  <c r="B438" i="9" s="1"/>
  <c r="B439" i="9" s="1"/>
  <c r="B440" i="9" s="1"/>
  <c r="B441" i="9" s="1"/>
  <c r="B442" i="9"/>
  <c r="B426" i="9"/>
  <c r="B427" i="9"/>
  <c r="B428" i="9" s="1"/>
  <c r="B429" i="9" s="1"/>
  <c r="B430" i="9" s="1"/>
  <c r="B431" i="9" s="1"/>
  <c r="B432" i="9" s="1"/>
  <c r="B416" i="9"/>
  <c r="B417" i="9" s="1"/>
  <c r="B418" i="9"/>
  <c r="B419" i="9" s="1"/>
  <c r="B420" i="9" s="1"/>
  <c r="B421" i="9" s="1"/>
  <c r="B422" i="9" s="1"/>
  <c r="B406" i="9"/>
  <c r="B407" i="9" s="1"/>
  <c r="B408" i="9" s="1"/>
  <c r="B409" i="9" s="1"/>
  <c r="B410" i="9" s="1"/>
  <c r="B411" i="9" s="1"/>
  <c r="B412" i="9" s="1"/>
  <c r="B396" i="9"/>
  <c r="B397" i="9" s="1"/>
  <c r="B398" i="9" s="1"/>
  <c r="B399" i="9" s="1"/>
  <c r="B400" i="9" s="1"/>
  <c r="B401" i="9" s="1"/>
  <c r="B402" i="9" s="1"/>
  <c r="B403" i="9" s="1"/>
  <c r="B386" i="9"/>
  <c r="B387" i="9" s="1"/>
  <c r="B388" i="9"/>
  <c r="B389" i="9" s="1"/>
  <c r="B390" i="9" s="1"/>
  <c r="B391" i="9" s="1"/>
  <c r="B392" i="9" s="1"/>
  <c r="B393" i="9" s="1"/>
  <c r="B378" i="9"/>
  <c r="B379" i="9" s="1"/>
  <c r="B380" i="9"/>
  <c r="B381" i="9" s="1"/>
  <c r="B382" i="9" s="1"/>
  <c r="B383" i="9" s="1"/>
  <c r="B375" i="9"/>
  <c r="J343" i="9"/>
  <c r="J93" i="9"/>
  <c r="J131" i="9"/>
  <c r="J256" i="9"/>
  <c r="J303" i="9"/>
  <c r="J340" i="9" s="1"/>
  <c r="J250" i="9"/>
  <c r="J267" i="9"/>
  <c r="J95" i="9"/>
  <c r="M95" i="9" s="1"/>
  <c r="L13" i="9"/>
  <c r="L22" i="9"/>
  <c r="L29" i="9"/>
  <c r="L63" i="9"/>
  <c r="L71" i="9"/>
  <c r="L78" i="9"/>
  <c r="L105" i="9"/>
  <c r="L124" i="9"/>
  <c r="L160" i="9"/>
  <c r="L177" i="9"/>
  <c r="L249" i="9"/>
  <c r="L266" i="9"/>
  <c r="L302" i="9"/>
  <c r="K13" i="9"/>
  <c r="K22" i="9"/>
  <c r="K29" i="9"/>
  <c r="K64" i="9"/>
  <c r="K63" i="9" s="1"/>
  <c r="K71" i="9"/>
  <c r="K92" i="9"/>
  <c r="K105" i="9"/>
  <c r="K119" i="9"/>
  <c r="K131" i="9"/>
  <c r="K134" i="9"/>
  <c r="K232" i="9"/>
  <c r="K233" i="9"/>
  <c r="K234" i="9"/>
  <c r="K235" i="9"/>
  <c r="M235" i="9" s="1"/>
  <c r="K249" i="9"/>
  <c r="K266" i="9"/>
  <c r="K302" i="9"/>
  <c r="J13" i="9"/>
  <c r="J22" i="9"/>
  <c r="J29" i="9"/>
  <c r="J63" i="9"/>
  <c r="J71" i="9"/>
  <c r="J83" i="9"/>
  <c r="J105" i="9"/>
  <c r="J119" i="9"/>
  <c r="J122" i="9"/>
  <c r="J134" i="9"/>
  <c r="J208" i="9"/>
  <c r="J200" i="9" s="1"/>
  <c r="J194" i="9" s="1"/>
  <c r="J197" i="9"/>
  <c r="J257" i="9"/>
  <c r="J249" i="9" s="1"/>
  <c r="J260" i="9"/>
  <c r="J302" i="9"/>
  <c r="I13" i="9"/>
  <c r="I24" i="9"/>
  <c r="I29" i="9"/>
  <c r="I64" i="9"/>
  <c r="I71" i="9"/>
  <c r="I82" i="9"/>
  <c r="I78" i="9" s="1"/>
  <c r="I83" i="9"/>
  <c r="M86" i="9"/>
  <c r="I87" i="9"/>
  <c r="M94" i="9"/>
  <c r="I108" i="9"/>
  <c r="I119" i="9"/>
  <c r="M119" i="9" s="1"/>
  <c r="I122" i="9"/>
  <c r="M122" i="9" s="1"/>
  <c r="I129" i="9"/>
  <c r="I208" i="9"/>
  <c r="I250" i="9"/>
  <c r="I251" i="9"/>
  <c r="I267" i="9"/>
  <c r="M267" i="9" s="1"/>
  <c r="I278" i="9"/>
  <c r="I279" i="9"/>
  <c r="M279" i="9" s="1"/>
  <c r="I280" i="9"/>
  <c r="I281" i="9"/>
  <c r="M281" i="9" s="1"/>
  <c r="I282" i="9"/>
  <c r="I283" i="9"/>
  <c r="M283" i="9" s="1"/>
  <c r="I302" i="9"/>
  <c r="H14" i="9"/>
  <c r="H18" i="9"/>
  <c r="H22" i="9"/>
  <c r="H63" i="9"/>
  <c r="H71" i="9"/>
  <c r="H78" i="9"/>
  <c r="H105" i="9"/>
  <c r="H116" i="9"/>
  <c r="H147" i="9"/>
  <c r="H134" i="9"/>
  <c r="H193" i="9"/>
  <c r="H194" i="9"/>
  <c r="H199" i="9"/>
  <c r="H200" i="9"/>
  <c r="H202" i="9"/>
  <c r="H204" i="9"/>
  <c r="H232" i="9"/>
  <c r="H177" i="9"/>
  <c r="H249" i="9"/>
  <c r="H266" i="9"/>
  <c r="H302" i="9"/>
  <c r="M64" i="9"/>
  <c r="M66" i="9"/>
  <c r="H343" i="9"/>
  <c r="I343" i="9"/>
  <c r="K343" i="9"/>
  <c r="AE340" i="9"/>
  <c r="AD340" i="9"/>
  <c r="AC340" i="9"/>
  <c r="AB340" i="9"/>
  <c r="AA340" i="9"/>
  <c r="Z340" i="9"/>
  <c r="Y340" i="9"/>
  <c r="X340" i="9"/>
  <c r="W340" i="9"/>
  <c r="V304" i="9"/>
  <c r="V305" i="9"/>
  <c r="V306" i="9"/>
  <c r="V307" i="9"/>
  <c r="V308" i="9"/>
  <c r="V309" i="9"/>
  <c r="V310" i="9"/>
  <c r="V311" i="9"/>
  <c r="V312" i="9"/>
  <c r="V313" i="9"/>
  <c r="V314" i="9"/>
  <c r="V315" i="9"/>
  <c r="V316" i="9"/>
  <c r="V317" i="9"/>
  <c r="V318" i="9"/>
  <c r="V319" i="9"/>
  <c r="V320" i="9"/>
  <c r="V321" i="9"/>
  <c r="V322" i="9"/>
  <c r="V323" i="9"/>
  <c r="V324" i="9"/>
  <c r="V325" i="9"/>
  <c r="V326" i="9"/>
  <c r="V327" i="9"/>
  <c r="V328" i="9"/>
  <c r="V329" i="9"/>
  <c r="V330" i="9"/>
  <c r="V331" i="9"/>
  <c r="V332" i="9"/>
  <c r="V333" i="9"/>
  <c r="V334" i="9"/>
  <c r="V335" i="9"/>
  <c r="V336" i="9"/>
  <c r="V337" i="9"/>
  <c r="V338" i="9"/>
  <c r="V339" i="9"/>
  <c r="U340" i="9"/>
  <c r="T340"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R340" i="9"/>
  <c r="Q340" i="9"/>
  <c r="P340" i="9"/>
  <c r="O340" i="9"/>
  <c r="N340" i="9"/>
  <c r="M304" i="9"/>
  <c r="M305" i="9"/>
  <c r="M306" i="9"/>
  <c r="M307" i="9"/>
  <c r="M308" i="9"/>
  <c r="M309" i="9"/>
  <c r="M310" i="9"/>
  <c r="M311" i="9"/>
  <c r="M312" i="9"/>
  <c r="M313" i="9"/>
  <c r="M314" i="9"/>
  <c r="M315" i="9"/>
  <c r="M316" i="9"/>
  <c r="M317" i="9"/>
  <c r="M318" i="9"/>
  <c r="M319" i="9"/>
  <c r="M320" i="9"/>
  <c r="M321" i="9"/>
  <c r="M322" i="9"/>
  <c r="M323" i="9"/>
  <c r="M324" i="9"/>
  <c r="M325" i="9"/>
  <c r="M326" i="9"/>
  <c r="M327" i="9"/>
  <c r="M328" i="9"/>
  <c r="M329" i="9"/>
  <c r="M330" i="9"/>
  <c r="M331" i="9"/>
  <c r="M332" i="9"/>
  <c r="M333" i="9"/>
  <c r="M334" i="9"/>
  <c r="M335" i="9"/>
  <c r="M336" i="9"/>
  <c r="M337" i="9"/>
  <c r="M338" i="9"/>
  <c r="M339" i="9"/>
  <c r="L340" i="9"/>
  <c r="K340" i="9"/>
  <c r="I340" i="9"/>
  <c r="H340" i="9"/>
  <c r="B305" i="9"/>
  <c r="B306" i="9" s="1"/>
  <c r="B307" i="9" s="1"/>
  <c r="B308" i="9" s="1"/>
  <c r="B309" i="9" s="1"/>
  <c r="B310" i="9" s="1"/>
  <c r="B311" i="9" s="1"/>
  <c r="B312" i="9" s="1"/>
  <c r="AE268" i="9"/>
  <c r="AE269" i="9"/>
  <c r="AE270" i="9"/>
  <c r="AE271" i="9"/>
  <c r="AE272" i="9"/>
  <c r="AE273" i="9"/>
  <c r="AE274" i="9"/>
  <c r="AE275" i="9"/>
  <c r="AE276" i="9"/>
  <c r="AE277" i="9"/>
  <c r="AE278" i="9"/>
  <c r="AE279" i="9"/>
  <c r="AE280" i="9"/>
  <c r="AE281" i="9"/>
  <c r="AE282" i="9"/>
  <c r="AE283" i="9"/>
  <c r="AE284" i="9"/>
  <c r="AE285" i="9"/>
  <c r="AE286" i="9"/>
  <c r="AE287" i="9"/>
  <c r="AE288" i="9"/>
  <c r="AE289" i="9"/>
  <c r="AE290" i="9"/>
  <c r="AE291" i="9"/>
  <c r="AE292" i="9"/>
  <c r="AE293" i="9"/>
  <c r="AD300" i="9"/>
  <c r="AC300" i="9"/>
  <c r="AB300" i="9"/>
  <c r="AA300" i="9"/>
  <c r="Z300" i="9"/>
  <c r="Y300" i="9"/>
  <c r="X300" i="9"/>
  <c r="W300" i="9"/>
  <c r="P268" i="9"/>
  <c r="S268" i="9" s="1"/>
  <c r="P269" i="9"/>
  <c r="U300" i="9"/>
  <c r="T300" i="9"/>
  <c r="S267" i="9"/>
  <c r="S270" i="9"/>
  <c r="P271" i="9"/>
  <c r="S271" i="9"/>
  <c r="P273" i="9"/>
  <c r="S273" i="9"/>
  <c r="P274" i="9"/>
  <c r="S274" i="9"/>
  <c r="S275" i="9"/>
  <c r="P276" i="9"/>
  <c r="S277" i="9"/>
  <c r="S278" i="9"/>
  <c r="S279" i="9"/>
  <c r="S280" i="9"/>
  <c r="R300" i="9"/>
  <c r="Q300" i="9"/>
  <c r="O300" i="9"/>
  <c r="N300" i="9"/>
  <c r="M268" i="9"/>
  <c r="M269" i="9"/>
  <c r="M270" i="9"/>
  <c r="M271" i="9"/>
  <c r="M272" i="9"/>
  <c r="M273" i="9"/>
  <c r="M274" i="9"/>
  <c r="M275" i="9"/>
  <c r="M276" i="9"/>
  <c r="M277" i="9"/>
  <c r="M278" i="9"/>
  <c r="M280" i="9"/>
  <c r="M282" i="9"/>
  <c r="M284" i="9"/>
  <c r="M285" i="9"/>
  <c r="M286" i="9"/>
  <c r="L300" i="9"/>
  <c r="K300" i="9"/>
  <c r="H300" i="9"/>
  <c r="E299" i="9"/>
  <c r="M297" i="9"/>
  <c r="M296" i="9"/>
  <c r="M295" i="9"/>
  <c r="M294" i="9"/>
  <c r="M293" i="9"/>
  <c r="M292" i="9"/>
  <c r="M291" i="9"/>
  <c r="M290" i="9"/>
  <c r="M289" i="9"/>
  <c r="M288" i="9"/>
  <c r="M287" i="9"/>
  <c r="V279" i="9"/>
  <c r="V274" i="9"/>
  <c r="V273" i="9"/>
  <c r="V271" i="9"/>
  <c r="S266" i="9"/>
  <c r="E263" i="9"/>
  <c r="AE252" i="9"/>
  <c r="AE253" i="9"/>
  <c r="AE254" i="9"/>
  <c r="AE255" i="9"/>
  <c r="AB256" i="9"/>
  <c r="AA257" i="9"/>
  <c r="AE259" i="9"/>
  <c r="AB260" i="9"/>
  <c r="AE260" i="9" s="1"/>
  <c r="AD263" i="9"/>
  <c r="AC263" i="9"/>
  <c r="Z263" i="9"/>
  <c r="O256" i="9"/>
  <c r="P256" i="9"/>
  <c r="X263" i="9"/>
  <c r="W263" i="9"/>
  <c r="V255" i="9"/>
  <c r="P259" i="9"/>
  <c r="V259" i="9"/>
  <c r="U251" i="9"/>
  <c r="U254" i="9"/>
  <c r="U255" i="9"/>
  <c r="O257" i="9"/>
  <c r="U257" i="9" s="1"/>
  <c r="U258" i="9"/>
  <c r="O259" i="9"/>
  <c r="O260" i="9"/>
  <c r="T263" i="9"/>
  <c r="S251" i="9"/>
  <c r="S252" i="9"/>
  <c r="S253" i="9"/>
  <c r="S254" i="9"/>
  <c r="S255" i="9"/>
  <c r="S257" i="9"/>
  <c r="S258" i="9"/>
  <c r="S259" i="9"/>
  <c r="R263" i="9"/>
  <c r="Q263" i="9"/>
  <c r="N263" i="9"/>
  <c r="M252" i="9"/>
  <c r="M253" i="9"/>
  <c r="M254" i="9"/>
  <c r="M255" i="9"/>
  <c r="M258" i="9"/>
  <c r="M260" i="9"/>
  <c r="M261" i="9"/>
  <c r="M262" i="9"/>
  <c r="L263" i="9"/>
  <c r="K263" i="9"/>
  <c r="H263" i="9"/>
  <c r="AE262" i="9"/>
  <c r="AE261" i="9"/>
  <c r="AF344" i="9"/>
  <c r="AF346" i="9" s="1"/>
  <c r="AF348" i="9" s="1"/>
  <c r="AE180" i="9"/>
  <c r="AE188" i="9"/>
  <c r="AE189" i="9"/>
  <c r="AE190" i="9"/>
  <c r="Z191" i="9"/>
  <c r="AE191" i="9" s="1"/>
  <c r="AE192" i="9"/>
  <c r="AE195" i="9"/>
  <c r="AE196" i="9"/>
  <c r="AE197" i="9"/>
  <c r="AE198" i="9"/>
  <c r="Z199" i="9"/>
  <c r="AE199" i="9"/>
  <c r="Z201" i="9"/>
  <c r="AE201" i="9" s="1"/>
  <c r="Z202" i="9"/>
  <c r="AE202" i="9"/>
  <c r="AE203" i="9"/>
  <c r="Z209" i="9"/>
  <c r="AC209" i="9"/>
  <c r="AE209" i="9"/>
  <c r="AE210" i="9"/>
  <c r="AE211" i="9"/>
  <c r="Z212" i="9"/>
  <c r="AC212" i="9"/>
  <c r="AE213" i="9"/>
  <c r="Z214" i="9"/>
  <c r="AC214" i="9"/>
  <c r="AA215" i="9"/>
  <c r="AA242" i="9" s="1"/>
  <c r="AB215" i="9"/>
  <c r="AD242" i="9"/>
  <c r="AB242" i="9"/>
  <c r="Y179" i="9"/>
  <c r="Y180" i="9"/>
  <c r="Y181" i="9"/>
  <c r="Y182" i="9"/>
  <c r="Y183" i="9"/>
  <c r="Y184" i="9"/>
  <c r="Y185" i="9"/>
  <c r="Y186" i="9"/>
  <c r="Y187" i="9"/>
  <c r="Y188" i="9"/>
  <c r="Y189" i="9"/>
  <c r="Y190" i="9"/>
  <c r="N191" i="9"/>
  <c r="N192" i="9"/>
  <c r="Y193" i="9"/>
  <c r="Y194" i="9"/>
  <c r="N195" i="9"/>
  <c r="T195" i="9" s="1"/>
  <c r="Y195" i="9" s="1"/>
  <c r="N196" i="9"/>
  <c r="T196" i="9" s="1"/>
  <c r="Y196" i="9"/>
  <c r="N197" i="9"/>
  <c r="T197" i="9" s="1"/>
  <c r="Y197" i="9" s="1"/>
  <c r="N198" i="9"/>
  <c r="T198" i="9" s="1"/>
  <c r="Y198" i="9"/>
  <c r="T199" i="9"/>
  <c r="Y199" i="9" s="1"/>
  <c r="Y200" i="9"/>
  <c r="N201" i="9"/>
  <c r="N202" i="9"/>
  <c r="T202" i="9" s="1"/>
  <c r="Y202" i="9" s="1"/>
  <c r="Y206" i="9"/>
  <c r="Y207" i="9"/>
  <c r="Y208" i="9"/>
  <c r="N209" i="9"/>
  <c r="Q209" i="9"/>
  <c r="W209" i="9" s="1"/>
  <c r="N210" i="9"/>
  <c r="Q210" i="9"/>
  <c r="W210" i="9" s="1"/>
  <c r="N211" i="9"/>
  <c r="T211" i="9" s="1"/>
  <c r="Q211" i="9"/>
  <c r="W211" i="9"/>
  <c r="N212" i="9"/>
  <c r="T212" i="9" s="1"/>
  <c r="Q212" i="9"/>
  <c r="W212" i="9"/>
  <c r="N213" i="9"/>
  <c r="Q213" i="9"/>
  <c r="W213" i="9" s="1"/>
  <c r="N214" i="9"/>
  <c r="T214" i="9"/>
  <c r="W214" i="9"/>
  <c r="Y214" i="9" s="1"/>
  <c r="T215" i="9"/>
  <c r="U215" i="9"/>
  <c r="P215" i="9"/>
  <c r="V215" i="9" s="1"/>
  <c r="V242" i="9" s="1"/>
  <c r="X242" i="9"/>
  <c r="S179" i="9"/>
  <c r="S180" i="9"/>
  <c r="S181" i="9"/>
  <c r="S182" i="9"/>
  <c r="S183" i="9"/>
  <c r="S184" i="9"/>
  <c r="S185" i="9"/>
  <c r="S186" i="9"/>
  <c r="S187" i="9"/>
  <c r="S188" i="9"/>
  <c r="S189" i="9"/>
  <c r="S190" i="9"/>
  <c r="S192" i="9"/>
  <c r="S193" i="9"/>
  <c r="S194" i="9"/>
  <c r="S195" i="9"/>
  <c r="S196" i="9"/>
  <c r="S197" i="9"/>
  <c r="S198" i="9"/>
  <c r="S199" i="9"/>
  <c r="S200" i="9"/>
  <c r="S202" i="9"/>
  <c r="S204" i="9"/>
  <c r="S206" i="9"/>
  <c r="S207" i="9"/>
  <c r="S208" i="9"/>
  <c r="S212" i="9"/>
  <c r="S214" i="9"/>
  <c r="S216" i="9"/>
  <c r="S217" i="9"/>
  <c r="S218" i="9"/>
  <c r="S219" i="9"/>
  <c r="S220" i="9"/>
  <c r="S221" i="9"/>
  <c r="S222" i="9"/>
  <c r="S223" i="9"/>
  <c r="S224" i="9"/>
  <c r="S225" i="9"/>
  <c r="S226" i="9"/>
  <c r="S227" i="9"/>
  <c r="S228" i="9"/>
  <c r="S229" i="9"/>
  <c r="S230" i="9"/>
  <c r="S231" i="9"/>
  <c r="S232" i="9"/>
  <c r="S233" i="9"/>
  <c r="S234" i="9"/>
  <c r="S235" i="9"/>
  <c r="R242" i="9"/>
  <c r="P242" i="9"/>
  <c r="O242" i="9"/>
  <c r="M179" i="9"/>
  <c r="M180" i="9"/>
  <c r="M181" i="9"/>
  <c r="M182" i="9"/>
  <c r="M183" i="9"/>
  <c r="M184" i="9"/>
  <c r="M185" i="9"/>
  <c r="M186" i="9"/>
  <c r="M187" i="9"/>
  <c r="M188" i="9"/>
  <c r="AG188" i="9" s="1"/>
  <c r="M189" i="9"/>
  <c r="M190" i="9"/>
  <c r="M191" i="9"/>
  <c r="M192" i="9"/>
  <c r="M193" i="9"/>
  <c r="M198" i="9"/>
  <c r="M199" i="9"/>
  <c r="M201" i="9"/>
  <c r="M202" i="9"/>
  <c r="M203" i="9"/>
  <c r="M206" i="9"/>
  <c r="M207" i="9"/>
  <c r="M209" i="9"/>
  <c r="M210" i="9"/>
  <c r="M211" i="9"/>
  <c r="M212" i="9"/>
  <c r="M213" i="9"/>
  <c r="M214" i="9"/>
  <c r="M215" i="9"/>
  <c r="M216" i="9"/>
  <c r="M217" i="9"/>
  <c r="M218" i="9"/>
  <c r="M219" i="9"/>
  <c r="M220" i="9"/>
  <c r="M221" i="9"/>
  <c r="M222" i="9"/>
  <c r="M223" i="9"/>
  <c r="M224" i="9"/>
  <c r="M225" i="9"/>
  <c r="M226" i="9"/>
  <c r="M227" i="9"/>
  <c r="M229" i="9"/>
  <c r="M230" i="9"/>
  <c r="M231" i="9"/>
  <c r="M234" i="9"/>
  <c r="M236" i="9"/>
  <c r="M237" i="9"/>
  <c r="M238" i="9"/>
  <c r="M239" i="9"/>
  <c r="M240" i="9"/>
  <c r="M241" i="9"/>
  <c r="L242" i="9"/>
  <c r="T235" i="9"/>
  <c r="T234" i="9"/>
  <c r="T233" i="9"/>
  <c r="T232" i="9"/>
  <c r="T231" i="9"/>
  <c r="T230" i="9"/>
  <c r="AE229" i="9"/>
  <c r="T229" i="9"/>
  <c r="AE228" i="9"/>
  <c r="T228" i="9"/>
  <c r="T227" i="9"/>
  <c r="T226" i="9"/>
  <c r="T225" i="9"/>
  <c r="T224" i="9"/>
  <c r="T223" i="9"/>
  <c r="T222" i="9"/>
  <c r="T221" i="9"/>
  <c r="T220" i="9"/>
  <c r="T219" i="9"/>
  <c r="T218" i="9"/>
  <c r="T217" i="9"/>
  <c r="T216" i="9"/>
  <c r="AF202" i="9"/>
  <c r="AS189" i="9"/>
  <c r="AI189" i="9"/>
  <c r="AJ189" i="9" s="1"/>
  <c r="AF188" i="9"/>
  <c r="AE135" i="9"/>
  <c r="AE136" i="9"/>
  <c r="AE137" i="9"/>
  <c r="AE141" i="9"/>
  <c r="AE156" i="9"/>
  <c r="AE157" i="9"/>
  <c r="AA159" i="9"/>
  <c r="AE161" i="9"/>
  <c r="AA162" i="9"/>
  <c r="AD162" i="9"/>
  <c r="AE163" i="9"/>
  <c r="AD164" i="9"/>
  <c r="AE164" i="9" s="1"/>
  <c r="AD165" i="9"/>
  <c r="AE165" i="9" s="1"/>
  <c r="AE166" i="9"/>
  <c r="AE167" i="9"/>
  <c r="AE168" i="9"/>
  <c r="AB172" i="9"/>
  <c r="AC172" i="9"/>
  <c r="Z174" i="9"/>
  <c r="R161" i="9"/>
  <c r="X161" i="9" s="1"/>
  <c r="X162" i="9"/>
  <c r="Y162" i="9" s="1"/>
  <c r="X163" i="9"/>
  <c r="Y163" i="9" s="1"/>
  <c r="R164" i="9"/>
  <c r="X164" i="9" s="1"/>
  <c r="Y164" i="9" s="1"/>
  <c r="R165" i="9"/>
  <c r="X165" i="9"/>
  <c r="Y165" i="9" s="1"/>
  <c r="X166" i="9"/>
  <c r="Y166" i="9" s="1"/>
  <c r="R167" i="9"/>
  <c r="R168" i="9"/>
  <c r="X168" i="9"/>
  <c r="Y168" i="9" s="1"/>
  <c r="Y169" i="9"/>
  <c r="Y170" i="9"/>
  <c r="Y171" i="9"/>
  <c r="P172" i="9"/>
  <c r="V172" i="9" s="1"/>
  <c r="R172" i="9"/>
  <c r="X172" i="9" s="1"/>
  <c r="W174" i="9"/>
  <c r="U174" i="9"/>
  <c r="N136" i="9"/>
  <c r="N137" i="9"/>
  <c r="T137" i="9" s="1"/>
  <c r="T141" i="9"/>
  <c r="T145" i="9"/>
  <c r="N156" i="9"/>
  <c r="T156" i="9" s="1"/>
  <c r="S135" i="9"/>
  <c r="S136" i="9"/>
  <c r="S138" i="9"/>
  <c r="S139" i="9"/>
  <c r="S140" i="9"/>
  <c r="S141" i="9"/>
  <c r="S145" i="9"/>
  <c r="S146" i="9"/>
  <c r="S147" i="9"/>
  <c r="S148" i="9"/>
  <c r="S149" i="9"/>
  <c r="S150" i="9"/>
  <c r="S151" i="9"/>
  <c r="S152" i="9"/>
  <c r="S153" i="9"/>
  <c r="S154" i="9"/>
  <c r="S155" i="9"/>
  <c r="S162" i="9"/>
  <c r="S163" i="9"/>
  <c r="S165" i="9"/>
  <c r="S166" i="9"/>
  <c r="S168" i="9"/>
  <c r="S169" i="9"/>
  <c r="S170" i="9"/>
  <c r="S171" i="9"/>
  <c r="S172" i="9"/>
  <c r="Q174" i="9"/>
  <c r="O17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K174" i="9"/>
  <c r="J174" i="9"/>
  <c r="AF166" i="9"/>
  <c r="AF165" i="9"/>
  <c r="AF163" i="9"/>
  <c r="AF162" i="9"/>
  <c r="AE120" i="9"/>
  <c r="AE121" i="9"/>
  <c r="AA122" i="9"/>
  <c r="AD128" i="9"/>
  <c r="AE128" i="9" s="1"/>
  <c r="AD129" i="9"/>
  <c r="AB131" i="9"/>
  <c r="AB132" i="9" s="1"/>
  <c r="AC131" i="9"/>
  <c r="AE131" i="9"/>
  <c r="AC132" i="9"/>
  <c r="Z132" i="9"/>
  <c r="O120" i="9"/>
  <c r="U120" i="9"/>
  <c r="Q120" i="9"/>
  <c r="W120" i="9" s="1"/>
  <c r="R128" i="9"/>
  <c r="U129" i="9"/>
  <c r="Y129" i="9" s="1"/>
  <c r="R129" i="9"/>
  <c r="X129" i="9" s="1"/>
  <c r="Q118" i="9"/>
  <c r="W118" i="9"/>
  <c r="Q121" i="9"/>
  <c r="W121" i="9" s="1"/>
  <c r="Q122" i="9"/>
  <c r="W122" i="9"/>
  <c r="V121" i="9"/>
  <c r="V122" i="9"/>
  <c r="V131" i="9"/>
  <c r="V132" i="9"/>
  <c r="O118" i="9"/>
  <c r="U118" i="9" s="1"/>
  <c r="O121" i="9"/>
  <c r="U121" i="9"/>
  <c r="O122" i="9"/>
  <c r="U122" i="9" s="1"/>
  <c r="T132" i="9"/>
  <c r="S118" i="9"/>
  <c r="S120" i="9"/>
  <c r="S129" i="9"/>
  <c r="S130" i="9"/>
  <c r="S131" i="9"/>
  <c r="Q132" i="9"/>
  <c r="P132" i="9"/>
  <c r="O132" i="9"/>
  <c r="N132" i="9"/>
  <c r="M120" i="9"/>
  <c r="M121" i="9"/>
  <c r="M123" i="9"/>
  <c r="M125" i="9"/>
  <c r="M126" i="9"/>
  <c r="M127" i="9"/>
  <c r="M128" i="9"/>
  <c r="M129" i="9"/>
  <c r="M130" i="9"/>
  <c r="M131" i="9"/>
  <c r="L132" i="9"/>
  <c r="J132" i="9"/>
  <c r="H132" i="9"/>
  <c r="F126" i="9"/>
  <c r="AF122" i="9"/>
  <c r="AI122" i="9" s="1"/>
  <c r="AB106" i="9"/>
  <c r="AE106" i="9" s="1"/>
  <c r="AE112" i="9"/>
  <c r="AD113" i="9"/>
  <c r="AC113" i="9"/>
  <c r="AB113" i="9"/>
  <c r="AA113" i="9"/>
  <c r="Z113" i="9"/>
  <c r="Y113" i="9"/>
  <c r="X113" i="9"/>
  <c r="W113" i="9"/>
  <c r="V113" i="9"/>
  <c r="U113" i="9"/>
  <c r="T113" i="9"/>
  <c r="S113" i="9"/>
  <c r="R113" i="9"/>
  <c r="Q113" i="9"/>
  <c r="P113" i="9"/>
  <c r="O113" i="9"/>
  <c r="N113" i="9"/>
  <c r="M106" i="9"/>
  <c r="M107" i="9"/>
  <c r="M109" i="9"/>
  <c r="M110" i="9"/>
  <c r="M111" i="9"/>
  <c r="M112" i="9"/>
  <c r="L113" i="9"/>
  <c r="K113" i="9"/>
  <c r="J113" i="9"/>
  <c r="I113" i="9"/>
  <c r="H113" i="9"/>
  <c r="AE79" i="9"/>
  <c r="AB81" i="9"/>
  <c r="AE81" i="9" s="1"/>
  <c r="AB84" i="9"/>
  <c r="AE84" i="9" s="1"/>
  <c r="AE85" i="9"/>
  <c r="AA86" i="9"/>
  <c r="AD86" i="9"/>
  <c r="AE87" i="9"/>
  <c r="AE88" i="9"/>
  <c r="AE89" i="9"/>
  <c r="AA92" i="9"/>
  <c r="AB92" i="9"/>
  <c r="AC92" i="9"/>
  <c r="AC102" i="9" s="1"/>
  <c r="AD102" i="9"/>
  <c r="Z92" i="9"/>
  <c r="Z102" i="9" s="1"/>
  <c r="O85" i="9"/>
  <c r="U85" i="9" s="1"/>
  <c r="Y85" i="9" s="1"/>
  <c r="Y86" i="9"/>
  <c r="U87" i="9"/>
  <c r="Y87" i="9" s="1"/>
  <c r="U88" i="9"/>
  <c r="Y88" i="9"/>
  <c r="Y89" i="9"/>
  <c r="Y90" i="9"/>
  <c r="U91" i="9"/>
  <c r="Y91" i="9"/>
  <c r="Q92" i="9"/>
  <c r="X102" i="9"/>
  <c r="V102" i="9"/>
  <c r="O79" i="9"/>
  <c r="U79" i="9" s="1"/>
  <c r="U102" i="9" s="1"/>
  <c r="T102" i="9"/>
  <c r="S85" i="9"/>
  <c r="S86" i="9"/>
  <c r="S87" i="9"/>
  <c r="S88" i="9"/>
  <c r="S89" i="9"/>
  <c r="S90" i="9"/>
  <c r="S91" i="9"/>
  <c r="S92" i="9"/>
  <c r="O96" i="9"/>
  <c r="S96" i="9" s="1"/>
  <c r="S101" i="9"/>
  <c r="R102" i="9"/>
  <c r="Q102" i="9"/>
  <c r="P102" i="9"/>
  <c r="N102" i="9"/>
  <c r="M79" i="9"/>
  <c r="M80" i="9"/>
  <c r="M81" i="9"/>
  <c r="M84" i="9"/>
  <c r="M85" i="9"/>
  <c r="M87" i="9"/>
  <c r="M88" i="9"/>
  <c r="M89" i="9"/>
  <c r="M90" i="9"/>
  <c r="M91" i="9"/>
  <c r="M96" i="9"/>
  <c r="M97" i="9"/>
  <c r="M98" i="9"/>
  <c r="M99" i="9"/>
  <c r="M100" i="9"/>
  <c r="L102" i="9"/>
  <c r="I102" i="9"/>
  <c r="H102" i="9"/>
  <c r="U101" i="9"/>
  <c r="Y99" i="9"/>
  <c r="AJ98" i="9"/>
  <c r="AR98" i="9" s="1"/>
  <c r="AB98" i="9"/>
  <c r="AC98" i="9"/>
  <c r="AA98" i="9"/>
  <c r="Y98" i="9"/>
  <c r="Y97" i="9"/>
  <c r="AE96" i="9"/>
  <c r="U96" i="9"/>
  <c r="V96" i="9"/>
  <c r="Y95" i="9"/>
  <c r="AE94" i="9"/>
  <c r="Y94" i="9"/>
  <c r="AE93" i="9"/>
  <c r="Y93" i="9"/>
  <c r="AE72" i="9"/>
  <c r="AE73" i="9"/>
  <c r="AE75" i="9" s="1"/>
  <c r="AD75" i="9"/>
  <c r="AC75" i="9"/>
  <c r="AB75" i="9"/>
  <c r="AA75" i="9"/>
  <c r="Z75" i="9"/>
  <c r="Y75" i="9"/>
  <c r="X75" i="9"/>
  <c r="W75" i="9"/>
  <c r="P73" i="9"/>
  <c r="V73" i="9" s="1"/>
  <c r="V75" i="9" s="1"/>
  <c r="U73" i="9"/>
  <c r="U75" i="9" s="1"/>
  <c r="T75" i="9"/>
  <c r="R75" i="9"/>
  <c r="Q75" i="9"/>
  <c r="O75" i="9"/>
  <c r="N75" i="9"/>
  <c r="M72" i="9"/>
  <c r="M73" i="9"/>
  <c r="L75" i="9"/>
  <c r="K75" i="9"/>
  <c r="J75" i="9"/>
  <c r="I75" i="9"/>
  <c r="H75" i="9"/>
  <c r="AE65" i="9"/>
  <c r="AE66" i="9"/>
  <c r="AD68" i="9"/>
  <c r="AC68" i="9"/>
  <c r="AB68" i="9"/>
  <c r="AA68" i="9"/>
  <c r="Z68" i="9"/>
  <c r="Y68" i="9"/>
  <c r="X68" i="9"/>
  <c r="W65" i="9"/>
  <c r="W66" i="9"/>
  <c r="V68" i="9"/>
  <c r="U66" i="9"/>
  <c r="T68" i="9"/>
  <c r="S65" i="9"/>
  <c r="S66" i="9"/>
  <c r="R68" i="9"/>
  <c r="Q68" i="9"/>
  <c r="P68" i="9"/>
  <c r="O68" i="9"/>
  <c r="N68" i="9"/>
  <c r="L68" i="9"/>
  <c r="J68" i="9"/>
  <c r="H68" i="9"/>
  <c r="AE42" i="9"/>
  <c r="AE43" i="9"/>
  <c r="Z44" i="9"/>
  <c r="AE44" i="9" s="1"/>
  <c r="Z45" i="9"/>
  <c r="AE45" i="9" s="1"/>
  <c r="AE46" i="9"/>
  <c r="AE47" i="9"/>
  <c r="Z48" i="9"/>
  <c r="AE48" i="9" s="1"/>
  <c r="AE49" i="9"/>
  <c r="AE50" i="9"/>
  <c r="AE51" i="9"/>
  <c r="Z52" i="9"/>
  <c r="AE52" i="9"/>
  <c r="AE53" i="9"/>
  <c r="AE54" i="9"/>
  <c r="AE55" i="9"/>
  <c r="AE56" i="9"/>
  <c r="AD60" i="9"/>
  <c r="AC60" i="9"/>
  <c r="AB60" i="9"/>
  <c r="AA60" i="9"/>
  <c r="Y60" i="9"/>
  <c r="X60" i="9"/>
  <c r="W60" i="9"/>
  <c r="V60" i="9"/>
  <c r="U45" i="9"/>
  <c r="U55" i="9"/>
  <c r="O56" i="9"/>
  <c r="U56" i="9" s="1"/>
  <c r="N31" i="9"/>
  <c r="T33" i="9"/>
  <c r="T34" i="9"/>
  <c r="N35" i="9"/>
  <c r="N36" i="9"/>
  <c r="T36" i="9" s="1"/>
  <c r="N37" i="9"/>
  <c r="T37" i="9" s="1"/>
  <c r="T38" i="9"/>
  <c r="N39" i="9"/>
  <c r="T39" i="9"/>
  <c r="N40" i="9"/>
  <c r="T40" i="9" s="1"/>
  <c r="T41" i="9"/>
  <c r="T42" i="9"/>
  <c r="T43" i="9"/>
  <c r="N44" i="9"/>
  <c r="T44" i="9" s="1"/>
  <c r="N45" i="9"/>
  <c r="T45" i="9" s="1"/>
  <c r="N46" i="9"/>
  <c r="T46" i="9" s="1"/>
  <c r="N47" i="9"/>
  <c r="T47" i="9" s="1"/>
  <c r="N48" i="9"/>
  <c r="T48" i="9" s="1"/>
  <c r="N49" i="9"/>
  <c r="T49" i="9" s="1"/>
  <c r="N50" i="9"/>
  <c r="T50" i="9" s="1"/>
  <c r="N51" i="9"/>
  <c r="T51" i="9" s="1"/>
  <c r="N52" i="9"/>
  <c r="T52" i="9" s="1"/>
  <c r="N53" i="9"/>
  <c r="T53" i="9" s="1"/>
  <c r="T55" i="9"/>
  <c r="S30" i="9"/>
  <c r="S32" i="9"/>
  <c r="S33" i="9"/>
  <c r="S34" i="9"/>
  <c r="S35" i="9"/>
  <c r="S37" i="9"/>
  <c r="S38" i="9"/>
  <c r="S39" i="9"/>
  <c r="S40" i="9"/>
  <c r="S41" i="9"/>
  <c r="S42" i="9"/>
  <c r="S43" i="9"/>
  <c r="S44" i="9"/>
  <c r="S45" i="9"/>
  <c r="S46" i="9"/>
  <c r="S47" i="9"/>
  <c r="S48" i="9"/>
  <c r="S49" i="9"/>
  <c r="S50" i="9"/>
  <c r="S51" i="9"/>
  <c r="S52" i="9"/>
  <c r="S53" i="9"/>
  <c r="S56" i="9"/>
  <c r="S57" i="9"/>
  <c r="S58" i="9"/>
  <c r="R60" i="9"/>
  <c r="Q60" i="9"/>
  <c r="P60" i="9"/>
  <c r="O60"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L60" i="9"/>
  <c r="K60" i="9"/>
  <c r="J60" i="9"/>
  <c r="I60" i="9"/>
  <c r="AE59" i="9"/>
  <c r="S59" i="9"/>
  <c r="AE23" i="9"/>
  <c r="AE24" i="9"/>
  <c r="AD26" i="9"/>
  <c r="AC26" i="9"/>
  <c r="AB26" i="9"/>
  <c r="AA26" i="9"/>
  <c r="Z26" i="9"/>
  <c r="Y26" i="9"/>
  <c r="X26" i="9"/>
  <c r="W26" i="9"/>
  <c r="P23" i="9"/>
  <c r="V23" i="9" s="1"/>
  <c r="V26" i="9" s="1"/>
  <c r="O24" i="9"/>
  <c r="U24" i="9" s="1"/>
  <c r="U25" i="9"/>
  <c r="T26" i="9"/>
  <c r="S24" i="9"/>
  <c r="S25" i="9"/>
  <c r="R26" i="9"/>
  <c r="Q26" i="9"/>
  <c r="P26" i="9"/>
  <c r="N26" i="9"/>
  <c r="M23" i="9"/>
  <c r="M24" i="9"/>
  <c r="M25" i="9"/>
  <c r="L26" i="9"/>
  <c r="K26" i="9"/>
  <c r="J26" i="9"/>
  <c r="I26" i="9"/>
  <c r="H26" i="9"/>
  <c r="AE15" i="9"/>
  <c r="AE16" i="9"/>
  <c r="AE17" i="9"/>
  <c r="Z18" i="9"/>
  <c r="AD20" i="9"/>
  <c r="AC20" i="9"/>
  <c r="AB20" i="9"/>
  <c r="AA20" i="9"/>
  <c r="Y20" i="9"/>
  <c r="X20" i="9"/>
  <c r="W20" i="9"/>
  <c r="V20" i="9"/>
  <c r="U20" i="9"/>
  <c r="T15" i="9"/>
  <c r="N16" i="9"/>
  <c r="N17" i="9"/>
  <c r="T17" i="9" s="1"/>
  <c r="N18" i="9"/>
  <c r="N20" i="9" s="1"/>
  <c r="T19" i="9"/>
  <c r="S15" i="9"/>
  <c r="S17" i="9"/>
  <c r="S19" i="9"/>
  <c r="R20" i="9"/>
  <c r="Q20" i="9"/>
  <c r="P20" i="9"/>
  <c r="O20" i="9"/>
  <c r="M14" i="9"/>
  <c r="M15" i="9"/>
  <c r="M16" i="9"/>
  <c r="M17" i="9"/>
  <c r="M18" i="9"/>
  <c r="L20" i="9"/>
  <c r="K20" i="9"/>
  <c r="J20" i="9"/>
  <c r="I20" i="9"/>
  <c r="H20" i="9"/>
  <c r="J5" i="9"/>
  <c r="M564" i="9" l="1"/>
  <c r="U26" i="9"/>
  <c r="S68" i="9"/>
  <c r="S73" i="9"/>
  <c r="S75" i="9" s="1"/>
  <c r="S122" i="9"/>
  <c r="T136" i="9"/>
  <c r="T174" i="9" s="1"/>
  <c r="M228" i="9"/>
  <c r="S211" i="9"/>
  <c r="J196" i="9"/>
  <c r="M232" i="9"/>
  <c r="S411" i="9"/>
  <c r="H374" i="9"/>
  <c r="M518" i="9"/>
  <c r="M549" i="9" s="1"/>
  <c r="S514" i="9"/>
  <c r="S494" i="9"/>
  <c r="S487" i="9"/>
  <c r="S563" i="9"/>
  <c r="S630" i="9"/>
  <c r="S619" i="9"/>
  <c r="S613" i="9"/>
  <c r="V598" i="9"/>
  <c r="Y598" i="9" s="1"/>
  <c r="S708" i="9"/>
  <c r="S794" i="9"/>
  <c r="L835" i="9"/>
  <c r="P5" i="9" s="1"/>
  <c r="R5" i="9" s="1"/>
  <c r="H459" i="9"/>
  <c r="S36" i="9"/>
  <c r="K68" i="9"/>
  <c r="W68" i="9"/>
  <c r="M75" i="9"/>
  <c r="P75" i="9"/>
  <c r="AE86" i="9"/>
  <c r="S121" i="9"/>
  <c r="AF164" i="9"/>
  <c r="S161" i="9"/>
  <c r="S137" i="9"/>
  <c r="AE162" i="9"/>
  <c r="S215" i="9"/>
  <c r="S209" i="9"/>
  <c r="AE215" i="9"/>
  <c r="J195" i="9"/>
  <c r="M401" i="9"/>
  <c r="M377" i="9"/>
  <c r="T424" i="9"/>
  <c r="Y424" i="9" s="1"/>
  <c r="U492" i="9"/>
  <c r="Y492" i="9" s="1"/>
  <c r="Z549" i="9"/>
  <c r="S589" i="9"/>
  <c r="S740" i="9"/>
  <c r="S736" i="9"/>
  <c r="S732" i="9"/>
  <c r="S728" i="9"/>
  <c r="S724" i="9"/>
  <c r="S720" i="9"/>
  <c r="S754" i="9"/>
  <c r="M815" i="9"/>
  <c r="M26" i="9"/>
  <c r="H60" i="9"/>
  <c r="AE68" i="9"/>
  <c r="S164" i="9"/>
  <c r="R174" i="9"/>
  <c r="I300" i="9"/>
  <c r="M303" i="9"/>
  <c r="M71" i="9"/>
  <c r="S391" i="9"/>
  <c r="S622" i="9"/>
  <c r="S610" i="9"/>
  <c r="S710" i="9"/>
  <c r="S706" i="9"/>
  <c r="R835" i="9"/>
  <c r="AE172" i="9"/>
  <c r="AC174" i="9"/>
  <c r="L5" i="9"/>
  <c r="O26" i="9"/>
  <c r="S23" i="9"/>
  <c r="AE26" i="9"/>
  <c r="Z60" i="9"/>
  <c r="Y96" i="9"/>
  <c r="AE98" i="9"/>
  <c r="O102" i="9"/>
  <c r="S79" i="9"/>
  <c r="S102" i="9" s="1"/>
  <c r="AB102" i="9"/>
  <c r="AD132" i="9"/>
  <c r="AG172" i="9"/>
  <c r="N174" i="9"/>
  <c r="P174" i="9"/>
  <c r="S156" i="9"/>
  <c r="AD174" i="9"/>
  <c r="Q242" i="9"/>
  <c r="Q6" i="9" s="1"/>
  <c r="Z242" i="9"/>
  <c r="V256" i="9"/>
  <c r="P263" i="9"/>
  <c r="I196" i="9"/>
  <c r="M196" i="9" s="1"/>
  <c r="M208" i="9"/>
  <c r="T456" i="9"/>
  <c r="Y456" i="9" s="1"/>
  <c r="S456" i="9"/>
  <c r="T447" i="9"/>
  <c r="Y447" i="9" s="1"/>
  <c r="S447" i="9"/>
  <c r="T399" i="9"/>
  <c r="Y399" i="9" s="1"/>
  <c r="S399" i="9"/>
  <c r="Y474" i="9"/>
  <c r="T477" i="9"/>
  <c r="T191" i="9"/>
  <c r="Y191" i="9" s="1"/>
  <c r="S191" i="9"/>
  <c r="U256" i="9"/>
  <c r="S256" i="9"/>
  <c r="M204" i="9"/>
  <c r="T204" i="9"/>
  <c r="Y204" i="9" s="1"/>
  <c r="I116" i="9"/>
  <c r="I22" i="9"/>
  <c r="M22" i="9" s="1"/>
  <c r="AI23" i="9"/>
  <c r="AI22" i="9" s="1"/>
  <c r="J266" i="9"/>
  <c r="J300" i="9"/>
  <c r="S439" i="9"/>
  <c r="S405" i="9"/>
  <c r="S385" i="9"/>
  <c r="S383" i="9"/>
  <c r="T394" i="9"/>
  <c r="Y394" i="9" s="1"/>
  <c r="S394" i="9"/>
  <c r="S477" i="9"/>
  <c r="AA174" i="9"/>
  <c r="AE214" i="9"/>
  <c r="O263" i="9"/>
  <c r="H13" i="9"/>
  <c r="H342" i="9" s="1"/>
  <c r="J116" i="9"/>
  <c r="AF256" i="9"/>
  <c r="AI256" i="9" s="1"/>
  <c r="AF243" i="9"/>
  <c r="AF245" i="9" s="1"/>
  <c r="AA549" i="9"/>
  <c r="S623" i="9"/>
  <c r="S615" i="9"/>
  <c r="S591" i="9"/>
  <c r="V618" i="9"/>
  <c r="Y618" i="9" s="1"/>
  <c r="S744" i="9"/>
  <c r="S810" i="9"/>
  <c r="S806" i="9"/>
  <c r="S800" i="9"/>
  <c r="S796" i="9"/>
  <c r="S792" i="9"/>
  <c r="S765" i="9"/>
  <c r="S755" i="9"/>
  <c r="AC815" i="9"/>
  <c r="AG54" i="9"/>
  <c r="M20" i="9"/>
  <c r="M300" i="9"/>
  <c r="S340" i="9"/>
  <c r="M60" i="9"/>
  <c r="AQ98" i="9"/>
  <c r="S26" i="9"/>
  <c r="AE92" i="9"/>
  <c r="AA102" i="9"/>
  <c r="AE102" i="9"/>
  <c r="M174" i="9"/>
  <c r="X167" i="9"/>
  <c r="Y167" i="9" s="1"/>
  <c r="S167" i="9"/>
  <c r="Y161" i="9"/>
  <c r="X174" i="9"/>
  <c r="Y212" i="9"/>
  <c r="Y211" i="9"/>
  <c r="T210" i="9"/>
  <c r="Y210" i="9" s="1"/>
  <c r="S210" i="9"/>
  <c r="Y256" i="9"/>
  <c r="Y263" i="9" s="1"/>
  <c r="S276" i="9"/>
  <c r="V276" i="9"/>
  <c r="M340" i="9"/>
  <c r="H242" i="9"/>
  <c r="J7" i="9" s="1"/>
  <c r="M257" i="9"/>
  <c r="V257" i="9"/>
  <c r="V263" i="9" s="1"/>
  <c r="J177" i="9"/>
  <c r="J242" i="9"/>
  <c r="J78" i="9"/>
  <c r="J102" i="9"/>
  <c r="M83" i="9"/>
  <c r="K177" i="9"/>
  <c r="M233" i="9"/>
  <c r="K242" i="9"/>
  <c r="K78" i="9"/>
  <c r="M92" i="9"/>
  <c r="E264" i="9"/>
  <c r="M250" i="9"/>
  <c r="J263" i="9"/>
  <c r="J354" i="9"/>
  <c r="J355" i="9" s="1"/>
  <c r="M93" i="9"/>
  <c r="T444" i="9"/>
  <c r="Y444" i="9" s="1"/>
  <c r="S444" i="9"/>
  <c r="T414" i="9"/>
  <c r="Y414" i="9" s="1"/>
  <c r="S414" i="9"/>
  <c r="T404" i="9"/>
  <c r="Y404" i="9" s="1"/>
  <c r="S404" i="9"/>
  <c r="T380" i="9"/>
  <c r="Y380" i="9" s="1"/>
  <c r="S380" i="9"/>
  <c r="N459" i="9"/>
  <c r="Y375" i="9"/>
  <c r="AE459" i="9"/>
  <c r="M477" i="9"/>
  <c r="H479" i="9"/>
  <c r="U515" i="9"/>
  <c r="Y515" i="9" s="1"/>
  <c r="S515" i="9"/>
  <c r="U511" i="9"/>
  <c r="Y511" i="9" s="1"/>
  <c r="S511" i="9"/>
  <c r="U507" i="9"/>
  <c r="Y507" i="9" s="1"/>
  <c r="S507" i="9"/>
  <c r="U501" i="9"/>
  <c r="Y501" i="9" s="1"/>
  <c r="S501" i="9"/>
  <c r="U495" i="9"/>
  <c r="Y495" i="9" s="1"/>
  <c r="S495" i="9"/>
  <c r="U491" i="9"/>
  <c r="Y491" i="9" s="1"/>
  <c r="S491" i="9"/>
  <c r="T18" i="9"/>
  <c r="S18" i="9"/>
  <c r="T16" i="9"/>
  <c r="S16" i="9"/>
  <c r="AE18" i="9"/>
  <c r="AE20" i="9" s="1"/>
  <c r="Z20" i="9"/>
  <c r="T35" i="9"/>
  <c r="N60" i="9"/>
  <c r="U60" i="9"/>
  <c r="AE60" i="9"/>
  <c r="K102" i="9"/>
  <c r="W92" i="9"/>
  <c r="U132" i="9"/>
  <c r="X128" i="9"/>
  <c r="S128" i="9"/>
  <c r="S132" i="9" s="1"/>
  <c r="R132" i="9"/>
  <c r="Q7" i="9" s="1"/>
  <c r="AE129" i="9"/>
  <c r="AE122" i="9"/>
  <c r="AA132" i="9"/>
  <c r="Y172" i="9"/>
  <c r="V174" i="9"/>
  <c r="AF172" i="9"/>
  <c r="AB174" i="9"/>
  <c r="AE159" i="9"/>
  <c r="AF159" i="9"/>
  <c r="AE174" i="9"/>
  <c r="T201" i="9"/>
  <c r="Y201" i="9" s="1"/>
  <c r="S201" i="9"/>
  <c r="M256" i="9"/>
  <c r="AE256" i="9"/>
  <c r="AB263" i="9"/>
  <c r="V269" i="9"/>
  <c r="S269" i="9"/>
  <c r="AE300" i="9"/>
  <c r="M343" i="9"/>
  <c r="M302" i="9"/>
  <c r="U259" i="9"/>
  <c r="M259" i="9"/>
  <c r="I249" i="9"/>
  <c r="M249" i="9" s="1"/>
  <c r="M251" i="9"/>
  <c r="I263" i="9"/>
  <c r="I105" i="9"/>
  <c r="M105" i="9" s="1"/>
  <c r="M108" i="9"/>
  <c r="M113" i="9" s="1"/>
  <c r="I63" i="9"/>
  <c r="M65" i="9"/>
  <c r="U65" i="9"/>
  <c r="U68" i="9" s="1"/>
  <c r="I68" i="9"/>
  <c r="M29" i="9"/>
  <c r="L134" i="9"/>
  <c r="M134" i="9" s="1"/>
  <c r="L174" i="9"/>
  <c r="P7" i="9" s="1"/>
  <c r="T452" i="9"/>
  <c r="Y452" i="9" s="1"/>
  <c r="S452" i="9"/>
  <c r="T410" i="9"/>
  <c r="Y410" i="9" s="1"/>
  <c r="S410" i="9"/>
  <c r="AE522" i="9"/>
  <c r="AF522" i="9" s="1"/>
  <c r="AB549" i="9"/>
  <c r="Y553" i="9"/>
  <c r="AE631" i="9"/>
  <c r="AA684" i="9"/>
  <c r="AE628" i="9"/>
  <c r="Z684" i="9"/>
  <c r="AE576" i="9"/>
  <c r="AE684" i="9" s="1"/>
  <c r="AB684" i="9"/>
  <c r="AF576" i="9"/>
  <c r="H461" i="9"/>
  <c r="H699" i="9"/>
  <c r="T31" i="9"/>
  <c r="S31" i="9"/>
  <c r="AE113" i="9"/>
  <c r="Y120" i="9"/>
  <c r="Y215" i="9"/>
  <c r="U242" i="9"/>
  <c r="T213" i="9"/>
  <c r="Y213" i="9" s="1"/>
  <c r="S213" i="9"/>
  <c r="W242" i="9"/>
  <c r="Y209" i="9"/>
  <c r="T192" i="9"/>
  <c r="N242" i="9"/>
  <c r="AE212" i="9"/>
  <c r="AE242" i="9" s="1"/>
  <c r="AC242" i="9"/>
  <c r="U260" i="9"/>
  <c r="S260" i="9"/>
  <c r="S263" i="9" s="1"/>
  <c r="AE257" i="9"/>
  <c r="AE263" i="9" s="1"/>
  <c r="AA263" i="9"/>
  <c r="V268" i="9"/>
  <c r="V300" i="9" s="1"/>
  <c r="P300" i="9"/>
  <c r="V340" i="9"/>
  <c r="I266" i="9"/>
  <c r="M266" i="9" s="1"/>
  <c r="I200" i="9"/>
  <c r="I194" i="9" s="1"/>
  <c r="I195" i="9"/>
  <c r="M195" i="9" s="1"/>
  <c r="I197" i="9"/>
  <c r="M197" i="9" s="1"/>
  <c r="M118" i="9"/>
  <c r="I132" i="9"/>
  <c r="M78" i="9"/>
  <c r="M82" i="9"/>
  <c r="K116" i="9"/>
  <c r="M116" i="9" s="1"/>
  <c r="W131" i="9"/>
  <c r="W132" i="9" s="1"/>
  <c r="K132" i="9"/>
  <c r="L116" i="9"/>
  <c r="L342" i="9" s="1"/>
  <c r="M124" i="9"/>
  <c r="M430" i="9"/>
  <c r="T396" i="9"/>
  <c r="Y396" i="9" s="1"/>
  <c r="S396" i="9"/>
  <c r="U517" i="9"/>
  <c r="Y517" i="9" s="1"/>
  <c r="S517" i="9"/>
  <c r="U513" i="9"/>
  <c r="Y513" i="9" s="1"/>
  <c r="S513" i="9"/>
  <c r="U509" i="9"/>
  <c r="Y509" i="9" s="1"/>
  <c r="S509" i="9"/>
  <c r="U505" i="9"/>
  <c r="Y505" i="9" s="1"/>
  <c r="S505" i="9"/>
  <c r="U497" i="9"/>
  <c r="Y497" i="9" s="1"/>
  <c r="S497" i="9"/>
  <c r="U493" i="9"/>
  <c r="Y493" i="9" s="1"/>
  <c r="S493" i="9"/>
  <c r="U489" i="9"/>
  <c r="Y489" i="9" s="1"/>
  <c r="S489" i="9"/>
  <c r="O549" i="9"/>
  <c r="Y483" i="9"/>
  <c r="S624" i="9"/>
  <c r="S620" i="9"/>
  <c r="S616" i="9"/>
  <c r="S612" i="9"/>
  <c r="S592" i="9"/>
  <c r="S588" i="9"/>
  <c r="V574" i="9"/>
  <c r="S574" i="9"/>
  <c r="P684" i="9"/>
  <c r="J695" i="9"/>
  <c r="V693" i="9"/>
  <c r="Y693" i="9" s="1"/>
  <c r="M693" i="9"/>
  <c r="M695" i="9" s="1"/>
  <c r="J687" i="9"/>
  <c r="S470" i="9"/>
  <c r="Y465" i="9"/>
  <c r="Y470" i="9" s="1"/>
  <c r="T470" i="9"/>
  <c r="Y477" i="9"/>
  <c r="U486" i="9"/>
  <c r="Y486" i="9" s="1"/>
  <c r="S486" i="9"/>
  <c r="U484" i="9"/>
  <c r="Y484" i="9" s="1"/>
  <c r="S484" i="9"/>
  <c r="U562" i="9"/>
  <c r="Y562" i="9" s="1"/>
  <c r="S562" i="9"/>
  <c r="U556" i="9"/>
  <c r="Y556" i="9" s="1"/>
  <c r="S556" i="9"/>
  <c r="S564" i="9" s="1"/>
  <c r="O564" i="9"/>
  <c r="M684" i="9"/>
  <c r="V609" i="9"/>
  <c r="Y609" i="9" s="1"/>
  <c r="S609" i="9"/>
  <c r="V607" i="9"/>
  <c r="Y607" i="9" s="1"/>
  <c r="S607" i="9"/>
  <c r="V605" i="9"/>
  <c r="Y605" i="9" s="1"/>
  <c r="S605" i="9"/>
  <c r="V603" i="9"/>
  <c r="Y603" i="9" s="1"/>
  <c r="S603" i="9"/>
  <c r="V585" i="9"/>
  <c r="Y585" i="9" s="1"/>
  <c r="S585" i="9"/>
  <c r="V583" i="9"/>
  <c r="Y583" i="9" s="1"/>
  <c r="S583" i="9"/>
  <c r="V581" i="9"/>
  <c r="Y581" i="9" s="1"/>
  <c r="S581" i="9"/>
  <c r="Y688" i="9"/>
  <c r="V695" i="9"/>
  <c r="V746" i="9"/>
  <c r="S746" i="9"/>
  <c r="V717" i="9"/>
  <c r="S717" i="9"/>
  <c r="W811" i="9"/>
  <c r="S811" i="9"/>
  <c r="W809" i="9"/>
  <c r="S809" i="9"/>
  <c r="W807" i="9"/>
  <c r="S807" i="9"/>
  <c r="W805" i="9"/>
  <c r="S805" i="9"/>
  <c r="W801" i="9"/>
  <c r="S801" i="9"/>
  <c r="W799" i="9"/>
  <c r="S799" i="9"/>
  <c r="W797" i="9"/>
  <c r="S797" i="9"/>
  <c r="W795" i="9"/>
  <c r="S795" i="9"/>
  <c r="W793" i="9"/>
  <c r="S793" i="9"/>
  <c r="W768" i="9"/>
  <c r="S768" i="9"/>
  <c r="W766" i="9"/>
  <c r="S766" i="9"/>
  <c r="W764" i="9"/>
  <c r="S764" i="9"/>
  <c r="Q815" i="9"/>
  <c r="Q5" i="9" s="1"/>
  <c r="M747" i="9"/>
  <c r="V745" i="9"/>
  <c r="S745" i="9"/>
  <c r="X835" i="9"/>
  <c r="M835" i="9"/>
  <c r="J684" i="9"/>
  <c r="J699" i="9" s="1"/>
  <c r="J573" i="9"/>
  <c r="H348" i="9" l="1"/>
  <c r="H344" i="9"/>
  <c r="M13" i="9"/>
  <c r="AI172" i="9"/>
  <c r="J342" i="9"/>
  <c r="S174" i="9"/>
  <c r="K8" i="9"/>
  <c r="J697" i="9"/>
  <c r="S815" i="9"/>
  <c r="S60" i="9"/>
  <c r="AE549" i="9"/>
  <c r="AE132" i="9"/>
  <c r="V747" i="9"/>
  <c r="W815" i="9"/>
  <c r="M459" i="9"/>
  <c r="K6" i="9"/>
  <c r="S7" i="9" s="1"/>
  <c r="S242" i="9"/>
  <c r="S20" i="9"/>
  <c r="S747" i="9"/>
  <c r="P6" i="9"/>
  <c r="R6" i="9" s="1"/>
  <c r="S459" i="9"/>
  <c r="Y695" i="9"/>
  <c r="U564" i="9"/>
  <c r="S300" i="9"/>
  <c r="K7" i="9"/>
  <c r="L7" i="9" s="1"/>
  <c r="T60" i="9"/>
  <c r="M132" i="9"/>
  <c r="T20" i="9"/>
  <c r="R7" i="9"/>
  <c r="J348" i="9"/>
  <c r="J344" i="9"/>
  <c r="K342" i="9"/>
  <c r="J6" i="9"/>
  <c r="M200" i="9"/>
  <c r="Y174" i="9"/>
  <c r="Q8" i="9"/>
  <c r="S684" i="9"/>
  <c r="U549" i="9"/>
  <c r="L348" i="9"/>
  <c r="L344" i="9"/>
  <c r="Y192" i="9"/>
  <c r="T242" i="9"/>
  <c r="M63" i="9"/>
  <c r="Y92" i="9"/>
  <c r="Y102" i="9" s="1"/>
  <c r="W102" i="9"/>
  <c r="Y459" i="9"/>
  <c r="M263" i="9"/>
  <c r="S549" i="9"/>
  <c r="V684" i="9"/>
  <c r="Y574" i="9"/>
  <c r="Y684" i="9" s="1"/>
  <c r="Y549" i="9"/>
  <c r="M102" i="9"/>
  <c r="I177" i="9"/>
  <c r="I242" i="9"/>
  <c r="J8" i="9" s="1"/>
  <c r="L8" i="9" s="1"/>
  <c r="M699" i="9"/>
  <c r="M837" i="9" s="1"/>
  <c r="O9" i="9" s="1"/>
  <c r="J4" i="9"/>
  <c r="Y564" i="9"/>
  <c r="U263" i="9"/>
  <c r="M68" i="9"/>
  <c r="Y128" i="9"/>
  <c r="Y132" i="9" s="1"/>
  <c r="X132" i="9"/>
  <c r="T459" i="9"/>
  <c r="K4" i="9"/>
  <c r="K9" i="9" s="1"/>
  <c r="M194" i="9"/>
  <c r="Y242" i="9"/>
  <c r="L6" i="9" l="1"/>
  <c r="P8" i="9"/>
  <c r="M242" i="9"/>
  <c r="R8" i="9"/>
  <c r="M177" i="9"/>
  <c r="I342" i="9"/>
  <c r="M342" i="9"/>
  <c r="M344" i="9" s="1"/>
  <c r="L4" i="9"/>
  <c r="L9" i="9" s="1"/>
  <c r="J9" i="9"/>
  <c r="H4" i="9" s="1"/>
  <c r="K344" i="9"/>
  <c r="K348" i="9"/>
  <c r="N5" i="9"/>
  <c r="I344" i="9" l="1"/>
  <c r="I348" i="9"/>
  <c r="P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Dir_Administratriva</author>
  </authors>
  <commentList>
    <comment ref="B135" authorId="0" shapeId="0" xr:uid="{00000000-0006-0000-0000-000001000000}">
      <text>
        <r>
          <rPr>
            <b/>
            <sz val="9"/>
            <color indexed="81"/>
            <rFont val="Tahoma"/>
            <family val="2"/>
          </rPr>
          <t xml:space="preserve">
ANEXO 061 $ 2' 944,868.82
</t>
        </r>
      </text>
    </comment>
    <comment ref="C138" authorId="0" shapeId="0" xr:uid="{00000000-0006-0000-0000-000002000000}">
      <text>
        <r>
          <rPr>
            <b/>
            <sz val="9"/>
            <color indexed="81"/>
            <rFont val="Tahoma"/>
            <family val="2"/>
          </rPr>
          <t>ANEXO 031</t>
        </r>
      </text>
    </comment>
    <comment ref="C143" authorId="0" shapeId="0" xr:uid="{00000000-0006-0000-0000-000003000000}">
      <text>
        <r>
          <rPr>
            <b/>
            <sz val="9"/>
            <color indexed="81"/>
            <rFont val="Tahoma"/>
            <family val="2"/>
          </rPr>
          <t>ANEXO 031</t>
        </r>
      </text>
    </comment>
    <comment ref="C145" authorId="0" shapeId="0" xr:uid="{00000000-0006-0000-0000-000004000000}">
      <text>
        <r>
          <rPr>
            <b/>
            <sz val="9"/>
            <color indexed="81"/>
            <rFont val="Tahoma"/>
            <family val="2"/>
          </rPr>
          <t>ANEXO 031</t>
        </r>
      </text>
    </comment>
    <comment ref="B179" authorId="0" shapeId="0" xr:uid="{00000000-0006-0000-0000-000005000000}">
      <text>
        <r>
          <rPr>
            <b/>
            <sz val="9"/>
            <color indexed="81"/>
            <rFont val="Tahoma"/>
            <family val="2"/>
          </rPr>
          <t>Dir_Administratriva:</t>
        </r>
        <r>
          <rPr>
            <sz val="9"/>
            <color indexed="81"/>
            <rFont val="Tahoma"/>
            <family val="2"/>
          </rPr>
          <t xml:space="preserve">
ANEXO 090
</t>
        </r>
      </text>
    </comment>
    <comment ref="B188" authorId="0" shapeId="0" xr:uid="{00000000-0006-0000-0000-000006000000}">
      <text>
        <r>
          <rPr>
            <b/>
            <sz val="9"/>
            <color indexed="81"/>
            <rFont val="Tahoma"/>
            <family val="2"/>
          </rPr>
          <t>Dir_Administratriva:</t>
        </r>
        <r>
          <rPr>
            <sz val="9"/>
            <color indexed="81"/>
            <rFont val="Tahoma"/>
            <family val="2"/>
          </rPr>
          <t xml:space="preserve">
ANEXO 110
</t>
        </r>
      </text>
    </comment>
    <comment ref="B190" authorId="0" shapeId="0" xr:uid="{00000000-0006-0000-0000-000007000000}">
      <text>
        <r>
          <rPr>
            <b/>
            <sz val="9"/>
            <color indexed="81"/>
            <rFont val="Tahoma"/>
            <family val="2"/>
          </rPr>
          <t>Dir_Administratriva:</t>
        </r>
        <r>
          <rPr>
            <sz val="9"/>
            <color indexed="81"/>
            <rFont val="Tahoma"/>
            <family val="2"/>
          </rPr>
          <t xml:space="preserve">
</t>
        </r>
        <r>
          <rPr>
            <sz val="11"/>
            <color indexed="81"/>
            <rFont val="Tahoma"/>
            <family val="2"/>
          </rPr>
          <t>ANEXO 111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Verificacion</author>
    <author>Dir_Administratriva</author>
  </authors>
  <commentList>
    <comment ref="N30" authorId="0" shapeId="0" xr:uid="{00000000-0006-0000-0200-000001000000}">
      <text>
        <r>
          <rPr>
            <b/>
            <sz val="8"/>
            <color indexed="81"/>
            <rFont val="Tahoma"/>
            <family val="2"/>
          </rPr>
          <t>Verificacion:</t>
        </r>
        <r>
          <rPr>
            <sz val="8"/>
            <color indexed="81"/>
            <rFont val="Tahoma"/>
            <family val="2"/>
          </rPr>
          <t xml:space="preserve">
DATO TESORERIA</t>
        </r>
      </text>
    </comment>
    <comment ref="Z45" authorId="1" shapeId="0" xr:uid="{00000000-0006-0000-0200-000002000000}">
      <text>
        <r>
          <rPr>
            <b/>
            <sz val="9"/>
            <color indexed="81"/>
            <rFont val="Tahoma"/>
            <family val="2"/>
          </rPr>
          <t xml:space="preserve">COSTO TOTAL DEL CONTRATO $ 1´569,949.65 PERO YA SE TIENE CONTEMPLADO INCREMENTO EN LA MODIFICACION
</t>
        </r>
      </text>
    </comment>
    <comment ref="Z48" authorId="1" shapeId="0" xr:uid="{00000000-0006-0000-0200-000003000000}">
      <text>
        <r>
          <rPr>
            <b/>
            <sz val="9"/>
            <color indexed="81"/>
            <rFont val="Tahoma"/>
            <family val="2"/>
          </rPr>
          <t>Dir_Administratriva:</t>
        </r>
        <r>
          <rPr>
            <sz val="9"/>
            <color indexed="81"/>
            <rFont val="Tahoma"/>
            <family val="2"/>
          </rPr>
          <t xml:space="preserve">
PRIMERA ASIGNACION $ 500, 000.00 SALDO $ 99,730.96 MISMOS QUE YA ESTAN CONTEMPLADAS EN SIGUIENTE MODIFICACION AL PGO FAISM 
</t>
        </r>
      </text>
    </comment>
    <comment ref="Z50" authorId="1" shapeId="0" xr:uid="{00000000-0006-0000-0200-000004000000}">
      <text>
        <r>
          <rPr>
            <b/>
            <sz val="9"/>
            <color indexed="81"/>
            <rFont val="Tahoma"/>
            <family val="2"/>
          </rPr>
          <t>Dir_Administratriva:</t>
        </r>
        <r>
          <rPr>
            <sz val="9"/>
            <color indexed="81"/>
            <rFont val="Tahoma"/>
            <family val="2"/>
          </rPr>
          <t xml:space="preserve">
FAISM 2017</t>
        </r>
      </text>
    </comment>
    <comment ref="AA50" authorId="1" shapeId="0" xr:uid="{00000000-0006-0000-0200-000005000000}">
      <text>
        <r>
          <rPr>
            <b/>
            <sz val="9"/>
            <color indexed="81"/>
            <rFont val="Tahoma"/>
            <family val="2"/>
          </rPr>
          <t>Dir_Administratriva:</t>
        </r>
        <r>
          <rPr>
            <sz val="9"/>
            <color indexed="81"/>
            <rFont val="Tahoma"/>
            <family val="2"/>
          </rPr>
          <t xml:space="preserve">
FORTAMUN 2015</t>
        </r>
      </text>
    </comment>
    <comment ref="O65" authorId="0" shapeId="0" xr:uid="{00000000-0006-0000-0200-000006000000}">
      <text>
        <r>
          <rPr>
            <b/>
            <sz val="8"/>
            <color indexed="81"/>
            <rFont val="Tahoma"/>
            <family val="2"/>
          </rPr>
          <t>Verificacion:</t>
        </r>
        <r>
          <rPr>
            <sz val="8"/>
            <color indexed="81"/>
            <rFont val="Tahoma"/>
            <family val="2"/>
          </rPr>
          <t xml:space="preserve">
SOLO SE EJERCERA 193,076.62</t>
        </r>
      </text>
    </comment>
    <comment ref="O66" authorId="0" shapeId="0" xr:uid="{00000000-0006-0000-0200-000007000000}">
      <text>
        <r>
          <rPr>
            <b/>
            <sz val="8"/>
            <color indexed="81"/>
            <rFont val="Tahoma"/>
            <family val="2"/>
          </rPr>
          <t>Verificacion:</t>
        </r>
        <r>
          <rPr>
            <sz val="8"/>
            <color indexed="81"/>
            <rFont val="Tahoma"/>
            <family val="2"/>
          </rPr>
          <t xml:space="preserve">
SE EJERCERA 480,000.00</t>
        </r>
      </text>
    </comment>
    <comment ref="O96" authorId="0" shapeId="0" xr:uid="{00000000-0006-0000-0200-000008000000}">
      <text>
        <r>
          <rPr>
            <b/>
            <sz val="8"/>
            <color indexed="81"/>
            <rFont val="Tahoma"/>
            <family val="2"/>
          </rPr>
          <t>Verificacion:</t>
        </r>
        <r>
          <rPr>
            <sz val="8"/>
            <color indexed="81"/>
            <rFont val="Tahoma"/>
            <family val="2"/>
          </rPr>
          <t xml:space="preserve">
TESORERIA HIZO MAL REGISTRO Y SE QUEDARA ASI
CON PRESUPUESTO DE MAS DE 6,279.00</t>
        </r>
      </text>
    </comment>
    <comment ref="AA98" authorId="1" shapeId="0" xr:uid="{00000000-0006-0000-0200-000009000000}">
      <text>
        <r>
          <rPr>
            <b/>
            <sz val="9"/>
            <color indexed="81"/>
            <rFont val="Tahoma"/>
            <family val="2"/>
          </rPr>
          <t xml:space="preserve">Dir_Administratriva:APORTACION MIGRANTE
</t>
        </r>
      </text>
    </comment>
    <comment ref="AC98" authorId="1" shapeId="0" xr:uid="{00000000-0006-0000-0200-00000A000000}">
      <text>
        <r>
          <rPr>
            <b/>
            <sz val="9"/>
            <color indexed="81"/>
            <rFont val="Tahoma"/>
            <family val="2"/>
          </rPr>
          <t>Dir_Administratriva:</t>
        </r>
      </text>
    </comment>
    <comment ref="C136" authorId="1" shapeId="0" xr:uid="{00000000-0006-0000-0200-00000B000000}">
      <text>
        <r>
          <rPr>
            <b/>
            <sz val="9"/>
            <color indexed="81"/>
            <rFont val="Tahoma"/>
            <family val="2"/>
          </rPr>
          <t xml:space="preserve">
ANEXO 061 $ 2' 944,868.82
</t>
        </r>
      </text>
    </comment>
    <comment ref="D139" authorId="1" shapeId="0" xr:uid="{00000000-0006-0000-0200-00000C000000}">
      <text>
        <r>
          <rPr>
            <b/>
            <sz val="9"/>
            <color indexed="81"/>
            <rFont val="Tahoma"/>
            <family val="2"/>
          </rPr>
          <t>ANEXO 031</t>
        </r>
      </text>
    </comment>
    <comment ref="Q139" authorId="0" shapeId="0" xr:uid="{00000000-0006-0000-0200-00000D000000}">
      <text>
        <r>
          <rPr>
            <b/>
            <sz val="8"/>
            <color indexed="81"/>
            <rFont val="Tahoma"/>
            <family val="2"/>
          </rPr>
          <t>Verificacion:</t>
        </r>
        <r>
          <rPr>
            <sz val="8"/>
            <color indexed="81"/>
            <rFont val="Tahoma"/>
            <family val="2"/>
          </rPr>
          <t xml:space="preserve">
DATO TESORERIA
</t>
        </r>
      </text>
    </comment>
    <comment ref="Q140" authorId="0" shapeId="0" xr:uid="{00000000-0006-0000-0200-00000E000000}">
      <text>
        <r>
          <rPr>
            <b/>
            <sz val="8"/>
            <color indexed="81"/>
            <rFont val="Tahoma"/>
            <family val="2"/>
          </rPr>
          <t>Verificacion:</t>
        </r>
        <r>
          <rPr>
            <sz val="8"/>
            <color indexed="81"/>
            <rFont val="Tahoma"/>
            <family val="2"/>
          </rPr>
          <t xml:space="preserve">
DATO TESORERIA
</t>
        </r>
      </text>
    </comment>
    <comment ref="D144" authorId="1" shapeId="0" xr:uid="{00000000-0006-0000-0200-00000F000000}">
      <text>
        <r>
          <rPr>
            <b/>
            <sz val="9"/>
            <color indexed="81"/>
            <rFont val="Tahoma"/>
            <family val="2"/>
          </rPr>
          <t>ANEXO 031</t>
        </r>
      </text>
    </comment>
    <comment ref="N145" authorId="0" shapeId="0" xr:uid="{00000000-0006-0000-0200-000010000000}">
      <text>
        <r>
          <rPr>
            <b/>
            <sz val="8"/>
            <color indexed="81"/>
            <rFont val="Tahoma"/>
            <family val="2"/>
          </rPr>
          <t>Verificacion:</t>
        </r>
        <r>
          <rPr>
            <sz val="8"/>
            <color indexed="81"/>
            <rFont val="Tahoma"/>
            <family val="2"/>
          </rPr>
          <t xml:space="preserve">
DATO TESORERIA
</t>
        </r>
      </text>
    </comment>
    <comment ref="D146" authorId="1" shapeId="0" xr:uid="{00000000-0006-0000-0200-000011000000}">
      <text>
        <r>
          <rPr>
            <b/>
            <sz val="9"/>
            <color indexed="81"/>
            <rFont val="Tahoma"/>
            <family val="2"/>
          </rPr>
          <t>ANEXO 031</t>
        </r>
      </text>
    </comment>
    <comment ref="N146" authorId="0" shapeId="0" xr:uid="{00000000-0006-0000-0200-000012000000}">
      <text>
        <r>
          <rPr>
            <b/>
            <sz val="8"/>
            <color indexed="81"/>
            <rFont val="Tahoma"/>
            <family val="2"/>
          </rPr>
          <t>Verificacion:</t>
        </r>
        <r>
          <rPr>
            <sz val="8"/>
            <color indexed="81"/>
            <rFont val="Tahoma"/>
            <family val="2"/>
          </rPr>
          <t xml:space="preserve">
DATO TESORERIA</t>
        </r>
      </text>
    </comment>
    <comment ref="Q148" authorId="0" shapeId="0" xr:uid="{00000000-0006-0000-0200-000013000000}">
      <text>
        <r>
          <rPr>
            <b/>
            <sz val="8"/>
            <color indexed="81"/>
            <rFont val="Tahoma"/>
            <family val="2"/>
          </rPr>
          <t>Verificacion:</t>
        </r>
        <r>
          <rPr>
            <sz val="8"/>
            <color indexed="81"/>
            <rFont val="Tahoma"/>
            <family val="2"/>
          </rPr>
          <t xml:space="preserve">
DATO JUMAPA</t>
        </r>
      </text>
    </comment>
    <comment ref="C180" authorId="1" shapeId="0" xr:uid="{00000000-0006-0000-0200-000014000000}">
      <text>
        <r>
          <rPr>
            <b/>
            <sz val="9"/>
            <color indexed="81"/>
            <rFont val="Tahoma"/>
            <family val="2"/>
          </rPr>
          <t>Dir_Administratriva:</t>
        </r>
        <r>
          <rPr>
            <sz val="9"/>
            <color indexed="81"/>
            <rFont val="Tahoma"/>
            <family val="2"/>
          </rPr>
          <t xml:space="preserve">
ANEXO 090
</t>
        </r>
      </text>
    </comment>
    <comment ref="C189" authorId="1" shapeId="0" xr:uid="{00000000-0006-0000-0200-000015000000}">
      <text>
        <r>
          <rPr>
            <b/>
            <sz val="9"/>
            <color indexed="81"/>
            <rFont val="Tahoma"/>
            <family val="2"/>
          </rPr>
          <t>Dir_Administratriva:</t>
        </r>
        <r>
          <rPr>
            <sz val="9"/>
            <color indexed="81"/>
            <rFont val="Tahoma"/>
            <family val="2"/>
          </rPr>
          <t xml:space="preserve">
ANEXO 110
</t>
        </r>
      </text>
    </comment>
    <comment ref="C191" authorId="1" shapeId="0" xr:uid="{00000000-0006-0000-0200-000016000000}">
      <text>
        <r>
          <rPr>
            <b/>
            <sz val="9"/>
            <color indexed="81"/>
            <rFont val="Tahoma"/>
            <family val="2"/>
          </rPr>
          <t>Dir_Administratriva:</t>
        </r>
        <r>
          <rPr>
            <sz val="9"/>
            <color indexed="81"/>
            <rFont val="Tahoma"/>
            <family val="2"/>
          </rPr>
          <t xml:space="preserve">
</t>
        </r>
        <r>
          <rPr>
            <sz val="11"/>
            <color indexed="81"/>
            <rFont val="Tahoma"/>
            <family val="2"/>
          </rPr>
          <t>ANEXO 111</t>
        </r>
      </text>
    </comment>
    <comment ref="N209" authorId="0" shapeId="0" xr:uid="{00000000-0006-0000-0200-000017000000}">
      <text>
        <r>
          <rPr>
            <b/>
            <sz val="8"/>
            <color indexed="81"/>
            <rFont val="Tahoma"/>
            <family val="2"/>
          </rPr>
          <t>Verificacion:</t>
        </r>
        <r>
          <rPr>
            <sz val="8"/>
            <color indexed="81"/>
            <rFont val="Tahoma"/>
            <family val="2"/>
          </rPr>
          <t xml:space="preserve">
TESORERIA REGISTRO MAL Y SE QUEDRA ASI CON 142,574.60 CON PRESUPUESTO DE MAS
</t>
        </r>
      </text>
    </comment>
    <comment ref="AA215" authorId="1" shapeId="0" xr:uid="{00000000-0006-0000-0200-000018000000}">
      <text>
        <r>
          <rPr>
            <b/>
            <sz val="9"/>
            <color indexed="81"/>
            <rFont val="Tahoma"/>
            <family val="2"/>
          </rPr>
          <t xml:space="preserve">
FORTAMUN 2016 REMANENTES</t>
        </r>
      </text>
    </comment>
    <comment ref="AB215" authorId="1" shapeId="0" xr:uid="{00000000-0006-0000-0200-000019000000}">
      <text>
        <r>
          <rPr>
            <b/>
            <sz val="9"/>
            <color indexed="81"/>
            <rFont val="Tahoma"/>
            <family val="2"/>
          </rPr>
          <t xml:space="preserve">
MUNICIPAL 2017</t>
        </r>
      </text>
    </comment>
    <comment ref="C349" authorId="1" shapeId="0" xr:uid="{00000000-0006-0000-0200-00001A000000}">
      <text>
        <r>
          <rPr>
            <b/>
            <sz val="9"/>
            <color indexed="81"/>
            <rFont val="Tahoma"/>
            <family val="2"/>
          </rPr>
          <t xml:space="preserve">
ANEXO 134</t>
        </r>
      </text>
    </comment>
    <comment ref="C358" authorId="1" shapeId="0" xr:uid="{00000000-0006-0000-0200-00001B000000}">
      <text>
        <r>
          <rPr>
            <b/>
            <sz val="9"/>
            <color indexed="81"/>
            <rFont val="Tahoma"/>
            <family val="2"/>
          </rPr>
          <t>Dir_Administratriva:</t>
        </r>
        <r>
          <rPr>
            <sz val="9"/>
            <color indexed="81"/>
            <rFont val="Tahoma"/>
            <family val="2"/>
          </rPr>
          <t xml:space="preserve">
ANEXO 162</t>
        </r>
      </text>
    </comment>
    <comment ref="AB525" authorId="1" shapeId="0" xr:uid="{00000000-0006-0000-0200-00001C000000}">
      <text>
        <r>
          <rPr>
            <b/>
            <sz val="9"/>
            <color indexed="81"/>
            <rFont val="Tahoma"/>
            <family val="2"/>
          </rPr>
          <t xml:space="preserve">
MUNICIPAL 2017</t>
        </r>
      </text>
    </comment>
    <comment ref="Y574" authorId="0" shapeId="0" xr:uid="{00000000-0006-0000-0200-00001D000000}">
      <text>
        <r>
          <rPr>
            <b/>
            <sz val="8"/>
            <color indexed="81"/>
            <rFont val="Tahoma"/>
            <family val="2"/>
          </rPr>
          <t>Verificacion:</t>
        </r>
        <r>
          <rPr>
            <sz val="8"/>
            <color indexed="81"/>
            <rFont val="Tahoma"/>
            <family val="2"/>
          </rPr>
          <t xml:space="preserve">
</t>
        </r>
      </text>
    </comment>
  </commentList>
</comments>
</file>

<file path=xl/sharedStrings.xml><?xml version="1.0" encoding="utf-8"?>
<sst xmlns="http://schemas.openxmlformats.org/spreadsheetml/2006/main" count="3784" uniqueCount="1840">
  <si>
    <t>PROGRAMA GENERAL DE OBRA 2017</t>
  </si>
  <si>
    <t>No.</t>
  </si>
  <si>
    <t>A C C I Ó N</t>
  </si>
  <si>
    <t>Otras Fuentes de Financiamiento (OFF) (Municipal)</t>
  </si>
  <si>
    <t>Estatal</t>
  </si>
  <si>
    <t>Federal</t>
  </si>
  <si>
    <t>TOTALES</t>
  </si>
  <si>
    <t>1  COMISIÓN   DE   SALUD   Y   ASISTENCIA   SOCIAL</t>
  </si>
  <si>
    <t>2 COMISIÓN   DE   SEGURIDAD   PÚBLICA   Y   PROTECCIÓN   CIVIL</t>
  </si>
  <si>
    <t>3  COMISIÓN   DE   EDUCACIÓN</t>
  </si>
  <si>
    <t>Acceso a la Universidad Tecnologica Laja-Bajio</t>
  </si>
  <si>
    <t>Acceso al CETAC</t>
  </si>
  <si>
    <t>4  COMISIÓN   DE   DESARROLLO   ECONÓMICO  Y COMERCIAL</t>
  </si>
  <si>
    <t>5  COMISIÓN   DE   ECOLOGÍA   Y   MEDIO   AMBIENTE</t>
  </si>
  <si>
    <t>Casa de la Tierra</t>
  </si>
  <si>
    <t>6  COMISIÓN   DE   SERVICIOS   E   INFRAESTRUCTURA   BÁSICA</t>
  </si>
  <si>
    <t>Construccion de barda y Sanitarios de Xochipilli 2da sección y Rehabilitacion de sanitarios primera seccion</t>
  </si>
  <si>
    <t>Programa de Construcción y Rehabilitación de Pavimentos.</t>
  </si>
  <si>
    <t xml:space="preserve">7   COMISIÓN   DE  CULTURA </t>
  </si>
  <si>
    <t>Museo de Arte de Celaya Octavio Ocampo</t>
  </si>
  <si>
    <t>CONVENIO CON FOREMOBA</t>
  </si>
  <si>
    <t xml:space="preserve">Restauraciones </t>
  </si>
  <si>
    <t xml:space="preserve">8  COMISIÓN   DE   DEPORTE   Y   RECREACIÓN  </t>
  </si>
  <si>
    <t>Acciones de deporte</t>
  </si>
  <si>
    <t>Construccion de Skate park en  MAV</t>
  </si>
  <si>
    <t>Construccion pista bmx deportiva MAV</t>
  </si>
  <si>
    <t xml:space="preserve">9   COMISIÓN    MUNICIPAL    URBANO </t>
  </si>
  <si>
    <t>IMUVI programa de vivienda (COVEG)</t>
  </si>
  <si>
    <t>10   COMISIÓN   DE   TRABAJO   RURAL</t>
  </si>
  <si>
    <t xml:space="preserve"> </t>
  </si>
  <si>
    <t>11 MANTENIMIENTO DE CALLES, AVENIDAS Y CAMINOS</t>
  </si>
  <si>
    <t>Mantenimiento de Calles, Avenidas y Caminos</t>
  </si>
  <si>
    <t>12 SUPERVISIÓN Y ESTUDIOS DE OBRAS</t>
  </si>
  <si>
    <t>Supervisiones y Estudios de obra</t>
  </si>
  <si>
    <t>13 ESTUDIOS Y PROYECTOS</t>
  </si>
  <si>
    <t xml:space="preserve">Estudios y Proyectos </t>
  </si>
  <si>
    <t>AUTORIZADO</t>
  </si>
  <si>
    <t>DIFERENCIA A CUBRIR CON APORTACIONES EXTRAORDINARIAS Y/O FINANCIAMIENTO</t>
  </si>
  <si>
    <t>Colonia ciudad industrial</t>
  </si>
  <si>
    <t>Rehabilitación del Centro Cassa de la Col.Independencia 2da. Etapa.</t>
  </si>
  <si>
    <t>Colonia Independencia</t>
  </si>
  <si>
    <t>Rehabilitación de la Biblioteca "Of. Pedro Ávila" Hidalgo No. 100  Comunidad El Puesto Segunda etapa</t>
  </si>
  <si>
    <t>El Puesto</t>
  </si>
  <si>
    <t>Rehabilitación de la Biblioteca "Antíoco Magueyal Palo Alto" Priv. Abasolo Sur 2010 Comunidad de Rincón de Tamayo Segunda etapa</t>
  </si>
  <si>
    <t>Rehabilitación de la Biblioteca Digital de Villas del Bajío</t>
  </si>
  <si>
    <t>Rehabilitación de la Biblioteca "José Vasconcelos" Calle Allende s/n Comunidad de Roque Segunda etapa</t>
  </si>
  <si>
    <t>Construcción de Techumbre en cancha de usos múltiples.- CETIS 115 de Av. México-Japón</t>
  </si>
  <si>
    <t>Construcción de Techumbre en cancha de usos múltiples.- SABES de San Miguel Octopan</t>
  </si>
  <si>
    <t>Construcción de Techumbre en cancha de usos múltiples.- Telesecundaria 72 de la Comunidad el Puesto</t>
  </si>
  <si>
    <t>Construcción de Techumbre en cancha de usos múltiples Secundaria Dr. Francisco Paredes Velasco colonia LAS FUENTES</t>
  </si>
  <si>
    <t>Colonia Las Fuentes</t>
  </si>
  <si>
    <t xml:space="preserve"> Construcción barda(tramo).- Secundaria Técnica No. 37</t>
  </si>
  <si>
    <t xml:space="preserve"> Construcción de un Mòdulo de Servicios Sanitarios.- Secundaria Lázaro Cárdenas</t>
  </si>
  <si>
    <t>Mejoramiento de barda perimetral.- Escuela Secundaria Tecnica no. 3</t>
  </si>
  <si>
    <t>Colonia Alfredo V. Bonfil</t>
  </si>
  <si>
    <t>Rehabilitación del modulo de servicios sanitarios.- PRIMARIA VALENTIN GOMEZ FARIAS</t>
  </si>
  <si>
    <t>Colonia Los lagos</t>
  </si>
  <si>
    <t xml:space="preserve"> Construcción barda(tramo).- JARDIN DE NIÑOS ESPERANZA FRANCO ESTRADA</t>
  </si>
  <si>
    <t>Colonia Valle del real</t>
  </si>
  <si>
    <t>Juan Martín</t>
  </si>
  <si>
    <t xml:space="preserve"> Colonia San Rafael </t>
  </si>
  <si>
    <t>Colonia Del Bosque 2da. Secc.</t>
  </si>
  <si>
    <t xml:space="preserve"> Colonia Lagos</t>
  </si>
  <si>
    <t>Ampliación de la red de drenaje Sanitario etapa 2</t>
  </si>
  <si>
    <t>Colonia La Cruz</t>
  </si>
  <si>
    <t>El Roble</t>
  </si>
  <si>
    <t>San Miguel Octopan</t>
  </si>
  <si>
    <t>El Becerro</t>
  </si>
  <si>
    <t>San Isidro de Trojes</t>
  </si>
  <si>
    <t>AREA RURAL</t>
  </si>
  <si>
    <t>Rehabilitación de la Biblioteca (José Luz Ojeda López) Col. Arboledas de San Rafael Segunda etapa</t>
  </si>
  <si>
    <t>Mejoramiento de aula del  Preescolar María Montessori</t>
  </si>
  <si>
    <t>Entre El Alamo y El Puente</t>
  </si>
  <si>
    <t>Ampliación y Construcción de Ciclovías (Fondo Metropolitano)</t>
  </si>
  <si>
    <t>Ampliacion de las Redes de Drenaje sanitario (PISBCC)</t>
  </si>
  <si>
    <t>Ampliación de la Red de Agua Potable (PISBCC)</t>
  </si>
  <si>
    <t>Ampliación de la red de drenaje Sanitario (PISBCC)</t>
  </si>
  <si>
    <t>Construccion PLANTA PURIFICADORA colonia Luis Donaldo Colosio (CEAG)</t>
  </si>
  <si>
    <t>Mantenimiento, Fortalecimiento, Limpieza y Desazolve de Canales, Drenes, Arroyos y Ríos del Municipio (Proteccion Civil)</t>
  </si>
  <si>
    <r>
      <t xml:space="preserve">Pavimentación de la Calle </t>
    </r>
    <r>
      <rPr>
        <b/>
        <sz val="14"/>
        <rFont val="Calibri"/>
        <family val="2"/>
        <scheme val="minor"/>
      </rPr>
      <t>Sonora</t>
    </r>
    <r>
      <rPr>
        <sz val="14"/>
        <rFont val="Calibri"/>
        <family val="2"/>
        <scheme val="minor"/>
      </rPr>
      <t xml:space="preserve"> en la Col. Independencia</t>
    </r>
  </si>
  <si>
    <r>
      <t xml:space="preserve">Pavimentación de la Calle </t>
    </r>
    <r>
      <rPr>
        <b/>
        <sz val="14"/>
        <rFont val="Calibri"/>
        <family val="2"/>
        <scheme val="minor"/>
      </rPr>
      <t>Torreón</t>
    </r>
    <r>
      <rPr>
        <sz val="14"/>
        <rFont val="Calibri"/>
        <family val="2"/>
        <scheme val="minor"/>
      </rPr>
      <t xml:space="preserve"> en la Col. Independencia</t>
    </r>
  </si>
  <si>
    <r>
      <t>Pavimentación de la Calle</t>
    </r>
    <r>
      <rPr>
        <b/>
        <sz val="14"/>
        <rFont val="Calibri"/>
        <family val="2"/>
        <scheme val="minor"/>
      </rPr>
      <t xml:space="preserve"> Aguascalientes</t>
    </r>
    <r>
      <rPr>
        <sz val="14"/>
        <rFont val="Calibri"/>
        <family val="2"/>
        <scheme val="minor"/>
      </rPr>
      <t xml:space="preserve"> en la Col. Independencia</t>
    </r>
  </si>
  <si>
    <r>
      <t xml:space="preserve">Pavimentación de la Calle </t>
    </r>
    <r>
      <rPr>
        <b/>
        <sz val="14"/>
        <rFont val="Calibri"/>
        <family val="2"/>
        <scheme val="minor"/>
      </rPr>
      <t>Zacatecas</t>
    </r>
    <r>
      <rPr>
        <sz val="14"/>
        <rFont val="Calibri"/>
        <family val="2"/>
        <scheme val="minor"/>
      </rPr>
      <t xml:space="preserve"> en la Col. Independencia</t>
    </r>
  </si>
  <si>
    <r>
      <t>Pavimentación de la Calle</t>
    </r>
    <r>
      <rPr>
        <b/>
        <sz val="14"/>
        <rFont val="Calibri"/>
        <family val="2"/>
        <scheme val="minor"/>
      </rPr>
      <t xml:space="preserve"> Benito Juárez</t>
    </r>
    <r>
      <rPr>
        <sz val="14"/>
        <rFont val="Calibri"/>
        <family val="2"/>
        <scheme val="minor"/>
      </rPr>
      <t xml:space="preserve"> en la Colonia Reforma y Revolución</t>
    </r>
  </si>
  <si>
    <r>
      <t xml:space="preserve">Pavimentación de la Calle </t>
    </r>
    <r>
      <rPr>
        <b/>
        <sz val="14"/>
        <rFont val="Calibri"/>
        <family val="2"/>
        <scheme val="minor"/>
      </rPr>
      <t>Clavel</t>
    </r>
    <r>
      <rPr>
        <sz val="14"/>
        <rFont val="Calibri"/>
        <family val="2"/>
        <scheme val="minor"/>
      </rPr>
      <t xml:space="preserve"> en la Col. San José de Torres </t>
    </r>
  </si>
  <si>
    <t>Colonia Enrique Colunga</t>
  </si>
  <si>
    <t>Fondo II (FORTAMUN)</t>
  </si>
  <si>
    <t>Fondo  I          (FAISM)</t>
  </si>
  <si>
    <t>Barrio del Zapote</t>
  </si>
  <si>
    <t>Construcción de un módulo de servicios sanitarios.- Telesecundaria 31</t>
  </si>
  <si>
    <t>Recursos PDR $ 11' 397,623.40</t>
  </si>
  <si>
    <t>Rehabilitación de Camino Rural a Base de Carpeta de Concreto Asfaltico a la Comunidad La Palmita.</t>
  </si>
  <si>
    <t>Parque Xochipilli (Tercera Etapa)</t>
  </si>
  <si>
    <t>Construcción de Red de Agua Potable y Drenaje para el CECYTE III, CELAYA</t>
  </si>
  <si>
    <t>Construcción de barda perimetral del CONALEP Plantel Celaya, tercera etapa</t>
  </si>
  <si>
    <t>Rehabilitación y mantenimiento de bibliotecas públicas municipales</t>
  </si>
  <si>
    <t>Rehabilitación de la Biblioteca (Albino Garcia) Col La Misión. Segunda etapa</t>
  </si>
  <si>
    <t>Rehabilitación de la Biblioteca valentín Mancera de San Juan de la Vega 3ra. Etapa</t>
  </si>
  <si>
    <t>Construcción TECHUMBRES en espacios escolares</t>
  </si>
  <si>
    <t xml:space="preserve"> Construcción de un Módulo de Servicios Sanitarios.- TELESECUNDARIA 30</t>
  </si>
  <si>
    <t>Programa "Mi Plaza"</t>
  </si>
  <si>
    <t>Techado de Alberca Deportiva MAV</t>
  </si>
  <si>
    <t xml:space="preserve">Cancha de Futbol 7 en Parque Xochipili </t>
  </si>
  <si>
    <t>Cancha de Futbol 7 en el Instituto tecnológico  de Roque</t>
  </si>
  <si>
    <t>REMANENTE</t>
  </si>
  <si>
    <t>Fondo  I</t>
  </si>
  <si>
    <t>Fondo  II</t>
  </si>
  <si>
    <t>EJERCIDO</t>
  </si>
  <si>
    <t>EJERCIDOS</t>
  </si>
  <si>
    <t>REMANENTES</t>
  </si>
  <si>
    <t>CONTRATO</t>
  </si>
  <si>
    <t>RECURSO</t>
  </si>
  <si>
    <t>APROBADO</t>
  </si>
  <si>
    <t>OFF MPAL</t>
  </si>
  <si>
    <r>
      <t xml:space="preserve">FONDO I </t>
    </r>
    <r>
      <rPr>
        <b/>
        <sz val="12"/>
        <rFont val="AvantGarde Bk BT"/>
      </rPr>
      <t>(*)</t>
    </r>
  </si>
  <si>
    <t>FONDO II</t>
  </si>
  <si>
    <t>COMPROBACION</t>
  </si>
  <si>
    <t>ESTATAL</t>
  </si>
  <si>
    <t>FEDERAL</t>
  </si>
  <si>
    <t>FONDO I   2016</t>
  </si>
  <si>
    <t>Acciones de Educacion, Salud, Urbanas y Rurales</t>
  </si>
  <si>
    <t>DOP/132/16</t>
  </si>
  <si>
    <t>Ampliación UMAPS del Becerro (Centro de Salud)</t>
  </si>
  <si>
    <t>DOP/133/16</t>
  </si>
  <si>
    <t>Ampliación UMAPS del Progreso Solidaridad  (Centro de Salud)</t>
  </si>
  <si>
    <t>DOP/144/16</t>
  </si>
  <si>
    <t>Sustitucion del centro de salud denominado Emiliano Zapata en la Ciudad de Celaya, Gto. (Ampliacion de Electrificacion de distribución electrica en la Calle Anastasio Bustamante Norte Tramo Av. Mexico Japon hasta Blevard Luis Donaldo Colosio en Fraccionamiento Los  Pirules)</t>
  </si>
  <si>
    <t>DOP/034/16</t>
  </si>
  <si>
    <t>Mejoramiento Biblioteca "Valentín Mancera" Obregón No 105 Sur Comunidad de San Juan de la Vega (2da Etapa)</t>
  </si>
  <si>
    <t>Mejoramiento Biblioteca "Manuel M. Concha" Comunidad de San Miguel Octopan ** (2da Etapa)</t>
  </si>
  <si>
    <t>DOP/041/16</t>
  </si>
  <si>
    <t>Mejoramiento Biblioteca "Of. Pedro Ávila" Hidalgo No. 100  Comunidad El Puesto (1era etapa)</t>
  </si>
  <si>
    <t>Mejoramiento Biblioteca "Ing. Jaime Tapia" Col. San Juanico 2da Etapa **</t>
  </si>
  <si>
    <t>Mejoramiento Biblioteca "Ricardo Chaurand" Colonia Naranjos 2da  Etapa **</t>
  </si>
  <si>
    <t>Mejoramiento Biblioteca "Antíoco Magueyal Palo Alto" Priv. Abasolo Sur 2010 Comunidad de Rincón de Tamayo (1era Etapa)</t>
  </si>
  <si>
    <t>Mejoramiento Biblioteca "José Vasconcelos" Calle Allende s/n Comunidad de Roque (1era Etapa)</t>
  </si>
  <si>
    <t>Mejoramiento en Centro Cassa Imagínate la Bola de la Col. Independencia ** (1era Etapa)</t>
  </si>
  <si>
    <t>DOP/019/16</t>
  </si>
  <si>
    <t>Construcción de Barda Perimetral del CONALEP, segunda etapa</t>
  </si>
  <si>
    <t>DOP/020/16</t>
  </si>
  <si>
    <t xml:space="preserve">Construcción de Barda Perimetral del CECYTE San Juan de la Vega Primera etapa </t>
  </si>
  <si>
    <t>DOP/030/16</t>
  </si>
  <si>
    <t xml:space="preserve">Construcción Barda Perimetral Jardín de Niños Estefanía Castañeda Comunidad de Santa Teresa </t>
  </si>
  <si>
    <t>DOP/033/16</t>
  </si>
  <si>
    <r>
      <t xml:space="preserve">Construcción de barda perimetral del Jardín de Niños Enrique C. Rebsamen de </t>
    </r>
    <r>
      <rPr>
        <sz val="12"/>
        <color indexed="8"/>
        <rFont val="Arial"/>
        <family val="2"/>
      </rPr>
      <t>Tenería del Santuario</t>
    </r>
  </si>
  <si>
    <t>DOP/032/16</t>
  </si>
  <si>
    <t xml:space="preserve">Construcción de Techumbre en escuela Primaria  "Héroes de Celaya".- 20 de Noviembre esq. Insurgentes.    </t>
  </si>
  <si>
    <t>DOP/048/16</t>
  </si>
  <si>
    <t xml:space="preserve">Construcción de Media Techumbre, Secundaria Na- Tha-Hi Col. Las Insurgentes  </t>
  </si>
  <si>
    <t>DOP/027/16</t>
  </si>
  <si>
    <t>Rehabilitación de Sanitarios en Telesecundaria 28, Rincón de Tamayo</t>
  </si>
  <si>
    <t>DOP/119/16</t>
  </si>
  <si>
    <t>Construccion de 1 aula 12*8 para taller de diseño, desarrollo y elaboracion de proyectos de costura en el Bachillerato SABES de Santa Teresa (Primera Etapa) (Convenio SABES) (1 aula de usos múltiples 4.0 e.e. (6*12)</t>
  </si>
  <si>
    <t>DOP/072/16</t>
  </si>
  <si>
    <r>
      <t>Rehabilitación de aulas del Jardín de Niños Sertoma de la Col.</t>
    </r>
    <r>
      <rPr>
        <sz val="12"/>
        <color indexed="8"/>
        <rFont val="Arial"/>
        <family val="2"/>
      </rPr>
      <t xml:space="preserve"> Emiliano Zapata.</t>
    </r>
  </si>
  <si>
    <r>
      <t xml:space="preserve">Construccion de 2 aulas 6*8 en el bachillerato SABES de Santa Teresa, Celaya (Primera Etapa) </t>
    </r>
    <r>
      <rPr>
        <sz val="12"/>
        <color indexed="8"/>
        <rFont val="Arial"/>
        <family val="2"/>
      </rPr>
      <t>(Convenio SABES)</t>
    </r>
  </si>
  <si>
    <t>DOP/042/16</t>
  </si>
  <si>
    <t>Construcción de Comedor Escolar y Cocina en la Escuela Primaria Leona Vicario de la  Comunidad Los Mancera</t>
  </si>
  <si>
    <t>DOP/036/16</t>
  </si>
  <si>
    <t xml:space="preserve">Construcción de Comedor Escolar y Cocina en la Escuela Primaria Emiliano Zapata de la Comunidad La Aurora  </t>
  </si>
  <si>
    <t>DOP/037/16</t>
  </si>
  <si>
    <t xml:space="preserve">Construcción de Comedor Escolar y Cocina en la Escuela Primaria Juan de Zumárraga de la Colonia Cuauhtémoc </t>
  </si>
  <si>
    <t>DOP/142/16</t>
  </si>
  <si>
    <t xml:space="preserve">Construcción de Comedor Escolar y Cocina en la Escuela Primaria Vicente Guerrero en la Comunidad de Los Galvanes  </t>
  </si>
  <si>
    <t>DOP/137/16</t>
  </si>
  <si>
    <t>Construcción de Comedor Escolar y Cocina en la Escuela Primaria José Vasconcelos de la Colonia Alamos</t>
  </si>
  <si>
    <t>JUMAPA-CELAYA-OP-2016-80</t>
  </si>
  <si>
    <t>Ampliacion de la red de drenaje sanitario y de la red de agua potable de la calle Nogal , tramo; de redes existentes a la calle Tabachin, colonia El Roble.</t>
  </si>
  <si>
    <t>JUMAPA-CELAYA-OP-2016-78</t>
  </si>
  <si>
    <r>
      <t xml:space="preserve">Ampliacion  de la Red de Drenaje de la Priv. Ciénega Tramo: Calle 2 ríos a fondo de la calle,  </t>
    </r>
    <r>
      <rPr>
        <sz val="12"/>
        <color indexed="8"/>
        <rFont val="Calibri"/>
        <family val="2"/>
      </rPr>
      <t>Villas de Celaya</t>
    </r>
  </si>
  <si>
    <t>DOP/038/16</t>
  </si>
  <si>
    <t>Ampliación de Red Eléctrica en la calle la Ciénega, Col. Villa de Celaya en el Municipio de Celaya, Gto. (PISBCC) AE-07-PISBCC-2016-Q0251-051</t>
  </si>
  <si>
    <t>DOP/031/16</t>
  </si>
  <si>
    <r>
      <t xml:space="preserve">Electrificación Calle Guayamel, Tramo: Calle Garambullo a Calle Camelia, Col </t>
    </r>
    <r>
      <rPr>
        <sz val="12"/>
        <color indexed="8"/>
        <rFont val="Arial"/>
        <family val="2"/>
      </rPr>
      <t>Del Bosque 2da Sección (PISBCC) AE-07-PISBCC-2016-Q0251-051</t>
    </r>
  </si>
  <si>
    <t>DOP/060/16</t>
  </si>
  <si>
    <r>
      <t xml:space="preserve">Electrificación y Alumbrado Público, en las calles de Adelfa y Azafrán, Tramo: Entre Arrayanes y Míspero Col. </t>
    </r>
    <r>
      <rPr>
        <sz val="12"/>
        <rFont val="Calibri"/>
        <family val="2"/>
      </rPr>
      <t xml:space="preserve">Del Bosque 2da. Sección, Municipio de Celaya, Gto. (PISBCC) AE-07-PISBCC-2016-Q0251-086 </t>
    </r>
  </si>
  <si>
    <t>JUMAPA-CELAYA-OP-2016-50</t>
  </si>
  <si>
    <r>
      <t xml:space="preserve">Red de Drenaje, Pról. Ajo, Tramo: De Jalisco a Ajo </t>
    </r>
    <r>
      <rPr>
        <sz val="12"/>
        <rFont val="Calibri"/>
        <family val="2"/>
      </rPr>
      <t>(Santa Rita Norte) (PISBCC) AE-07-PISBCC-2016-Q0251-086</t>
    </r>
  </si>
  <si>
    <t>JUMAPA-CELAYA-OP-2016-37</t>
  </si>
  <si>
    <r>
      <t>Construcción de Red de Drenaje Calle Lago de Zirahuen, Tramo: De Pról. Monte Tauro al Bordo Col.</t>
    </r>
    <r>
      <rPr>
        <sz val="12"/>
        <color indexed="8"/>
        <rFont val="Arial"/>
        <family val="2"/>
      </rPr>
      <t xml:space="preserve"> Lagos (PISBCC)</t>
    </r>
  </si>
  <si>
    <t>JUMAPA-CELAYA-OP-2016-56</t>
  </si>
  <si>
    <r>
      <t xml:space="preserve">Ampliación de Red de Drenaje Calle Lago Hurón,   Col. </t>
    </r>
    <r>
      <rPr>
        <sz val="12"/>
        <color indexed="8"/>
        <rFont val="Arial"/>
        <family val="2"/>
      </rPr>
      <t>Lagos (PISBCC)  AE-07-PISBCC-2016-Q0251-051</t>
    </r>
  </si>
  <si>
    <t>JUMAPA-CELAYA-OP-2016-72</t>
  </si>
  <si>
    <r>
      <t>Construcción de red de Drenaje Calle Lago de Camécuaro,  Tramo: de la calle Monte Tauro al Bordo, Col</t>
    </r>
    <r>
      <rPr>
        <sz val="12"/>
        <color indexed="8"/>
        <rFont val="Arial"/>
        <family val="2"/>
      </rPr>
      <t>. Lagos</t>
    </r>
  </si>
  <si>
    <t>DOP/082/16</t>
  </si>
  <si>
    <r>
      <t xml:space="preserve">Ampliación de Red de Distribución de Energía Eléctrica en las calles: Santa Inés, Santa Teresa y Los Caminantes, Tramo:  Prolongación Emiliano Zapata a Sembradíos en la Col. </t>
    </r>
    <r>
      <rPr>
        <sz val="12"/>
        <rFont val="Calibri"/>
        <family val="2"/>
      </rPr>
      <t xml:space="preserve">La Cruz, Municipio de Celaya, Gto. (PISBCC) </t>
    </r>
  </si>
  <si>
    <t>DOP/087/16</t>
  </si>
  <si>
    <r>
      <t xml:space="preserve">Ampliación de red de Distribución de Energia Eléctrica, calle Mal Paso, Col. </t>
    </r>
    <r>
      <rPr>
        <sz val="12"/>
        <color indexed="8"/>
        <rFont val="Calibri"/>
        <family val="2"/>
      </rPr>
      <t>Alfredo  V. Bonfil</t>
    </r>
  </si>
  <si>
    <t>DOP024/16</t>
  </si>
  <si>
    <r>
      <t>Ampliación de red de distribución de energía eléctrica, calle Lumali, Tramo Av Miguel Alemán a Av. Tresguerras Col</t>
    </r>
    <r>
      <rPr>
        <sz val="12"/>
        <color indexed="8"/>
        <rFont val="Calibri"/>
        <family val="2"/>
      </rPr>
      <t xml:space="preserve"> Tres guerras</t>
    </r>
  </si>
  <si>
    <t>DOP/016/16</t>
  </si>
  <si>
    <t>DOP/028/16</t>
  </si>
  <si>
    <t>Pavimentación de la calle Rosario, Tramo: de Av. Constituyentes a calle Miguel Alemán, Col. Tres guerras</t>
  </si>
  <si>
    <t>DOP/025/16</t>
  </si>
  <si>
    <r>
      <t xml:space="preserve">Pavimentación de la calle Profesora Macedonia Niño, Tramo: de calle General Jesús González Ortega a calle José Rosas Moreno, Col. </t>
    </r>
    <r>
      <rPr>
        <sz val="12"/>
        <color indexed="63"/>
        <rFont val="Arial"/>
        <family val="2"/>
      </rPr>
      <t>Barrio de San Juan</t>
    </r>
  </si>
  <si>
    <t>DOP/029/16</t>
  </si>
  <si>
    <r>
      <t xml:space="preserve">Pavimentación de la calle San Miguel de Allende, Tramo: de Paloma a fondo norte de la calle, Col. </t>
    </r>
    <r>
      <rPr>
        <sz val="12"/>
        <color indexed="63"/>
        <rFont val="Arial"/>
        <family val="2"/>
      </rPr>
      <t>Nueva Santa María</t>
    </r>
  </si>
  <si>
    <t>JUMAPA-CELAYA-OP-2016-48</t>
  </si>
  <si>
    <t xml:space="preserve">Ampliación De La Red De Drenaje En La Col. Lagos  (PISBCC) AE-07-PISBCC-2016-Q0251-0086 </t>
  </si>
  <si>
    <t>JUMAPA</t>
  </si>
  <si>
    <r>
      <t>Construcción de Red de Drenaje Pluvial calle Benito Juárez en la Comunidad de l</t>
    </r>
    <r>
      <rPr>
        <sz val="12"/>
        <rFont val="Calibri"/>
        <family val="2"/>
      </rPr>
      <t xml:space="preserve">os Mancera </t>
    </r>
  </si>
  <si>
    <t>JUMAPA-CELAYA-OP-2016-73</t>
  </si>
  <si>
    <r>
      <t xml:space="preserve">Rehabilitacion de la Red De Drenaje de la  Calle Ignacio Ramírez Tramo Calle Benito Juarez a Camino a trojes,  Comunidad de </t>
    </r>
    <r>
      <rPr>
        <sz val="12"/>
        <rFont val="Calibri"/>
        <family val="2"/>
      </rPr>
      <t>Juan Martin  (DGDS/AJ/TR/05/2016)</t>
    </r>
  </si>
  <si>
    <t>JUMAPA-CELAYA-OP-2016-62</t>
  </si>
  <si>
    <t>Construccion de Colector Sanitario en la calle Independencia Tramo: calle Miguel hidalgo a Descarga a canal Existente Comunidad San Isidro de Crespo</t>
  </si>
  <si>
    <t>JUMAPA-CELAYA-OP-2016-57</t>
  </si>
  <si>
    <r>
      <t xml:space="preserve">Rehabilitación de la Red De Drenaje de la Calle Roma, Tramo de calle Venecia a fondo de la calle </t>
    </r>
    <r>
      <rPr>
        <sz val="12"/>
        <rFont val="Calibri"/>
        <family val="2"/>
      </rPr>
      <t xml:space="preserve"> Rancho Camargo (PISBCC)</t>
    </r>
  </si>
  <si>
    <t>JUMAPA-CELAYA-OP-2016-51</t>
  </si>
  <si>
    <t>Ampliación De Red De Agua  de las calles Libélula, Canario y Pajaritos  El Becerro (Santos Degollado) (PISBCC)</t>
  </si>
  <si>
    <t>JUMAPA-CELAYA-OP-2016-45</t>
  </si>
  <si>
    <r>
      <t>Ampliación de Red de Agua Potable en la calle Aguascalientes, Tramo: calle Miguel Hidalgo al fondo Comunidad De</t>
    </r>
    <r>
      <rPr>
        <sz val="12"/>
        <rFont val="Calibri"/>
        <family val="2"/>
      </rPr>
      <t xml:space="preserve"> El Becerro (Santos Degollado) AE-07-PISBCC-2016-Q0251-079</t>
    </r>
  </si>
  <si>
    <t>JUMAPA-CELAYA-OP-2016-70</t>
  </si>
  <si>
    <t xml:space="preserve">Rehabilitacion de la Red De Drenaje Sanitario en  varias calles , Comunidad de Roque (PISBCC) </t>
  </si>
  <si>
    <t>JUMAPA-CELAYA-OP-2016-60</t>
  </si>
  <si>
    <r>
      <t>Reposición De Red De Drenaje De La Calle Ignacio Allende De La Comunidad De</t>
    </r>
    <r>
      <rPr>
        <sz val="12"/>
        <rFont val="Calibri"/>
        <family val="2"/>
      </rPr>
      <t xml:space="preserve"> Jáuregui (PIDMC)</t>
    </r>
  </si>
  <si>
    <t>JUMAPA-CELAYA-OP-2016-54</t>
  </si>
  <si>
    <t>Construcción de Red de Drenaje Calle Roble De Carretera Celaya - Salvatierra A Fondo de la Calle, En La Comunidad De El Sauz De Villaseñor (PIDMC)</t>
  </si>
  <si>
    <t>JUMAPA-CELAYA-OP-2016-59</t>
  </si>
  <si>
    <r>
      <t xml:space="preserve">Ampliación de La Red De Drenaje Sanitario en la Calle Tamaulipas, Tramo: Av. Lázaro Cárdenas a 541.80 m al Poniente, En la Colonia  </t>
    </r>
    <r>
      <rPr>
        <sz val="12"/>
        <rFont val="Calibri"/>
        <family val="2"/>
      </rPr>
      <t>Rancho Seco, Celaya, Gto. (PISBCC) AE-07-PISBCC-2016-Q0251-096 (DGDS/AJ/TR/04/2016)</t>
    </r>
  </si>
  <si>
    <t>JUMAPA-CELAYA-OP-2016-68</t>
  </si>
  <si>
    <r>
      <t xml:space="preserve">Ampliación de Redes de Agua Potable en las Colonias la Purísima, La Cruz, San Miguelito, Guadalupe y San Dieguito  </t>
    </r>
    <r>
      <rPr>
        <sz val="12"/>
        <rFont val="Calibri"/>
        <family val="2"/>
      </rPr>
      <t xml:space="preserve">San Miguel Octopan  (DGDS/AJ/TR/07/2016)                       </t>
    </r>
  </si>
  <si>
    <t>JUMAPA-CELAYA-OP-2016-69</t>
  </si>
  <si>
    <r>
      <t>Reposición de Pozo Agua Potable (Zaragoza) en la Comunidad de</t>
    </r>
    <r>
      <rPr>
        <sz val="12"/>
        <rFont val="Calibri"/>
        <family val="2"/>
      </rPr>
      <t xml:space="preserve"> San Miguel Octopan  (DGDS/AJ/TR/08/2016)</t>
    </r>
  </si>
  <si>
    <t>JUMAPA-CELAYA-OP-2016-74</t>
  </si>
  <si>
    <r>
      <t xml:space="preserve">Ampliacion del Equipamiento Electromecanico de Cárcamo de la Comunidad de </t>
    </r>
    <r>
      <rPr>
        <sz val="12"/>
        <rFont val="Calibri"/>
        <family val="2"/>
      </rPr>
      <t>San Miguel Octopan (DGDS/AJ/TR/09/2016)</t>
    </r>
  </si>
  <si>
    <t>JUMAPA-CELAYA-OP-2016-63</t>
  </si>
  <si>
    <r>
      <t xml:space="preserve">Construccion de linea de conduccion de agua potable del pozo de tanque elevado en la comunidad de  </t>
    </r>
    <r>
      <rPr>
        <sz val="12"/>
        <rFont val="Calibri"/>
        <family val="2"/>
      </rPr>
      <t>El Puesto (DGDS/AJ/TR/10/2016)</t>
    </r>
  </si>
  <si>
    <t>JUMAPA-CELAYA-OP-2016-75</t>
  </si>
  <si>
    <r>
      <t xml:space="preserve">Equipamiento de Pozo de Agua Potable Tepetates En La Comunidad </t>
    </r>
    <r>
      <rPr>
        <sz val="12"/>
        <rFont val="Calibri"/>
        <family val="2"/>
      </rPr>
      <t>Rincón de Tamayo (DGDS/AJ/TR/11/2016)</t>
    </r>
  </si>
  <si>
    <t>JUMAPA-CELAYA-OP-2016-76</t>
  </si>
  <si>
    <t>JUMAPA-CELAYA-OP-2016-64</t>
  </si>
  <si>
    <t>JUMAPA-CELAYA-OP-2016-49</t>
  </si>
  <si>
    <t>JUMAPA-CELAYA-OP-2016-47</t>
  </si>
  <si>
    <t>JUMAPA-CELAYA-OP-2016-65</t>
  </si>
  <si>
    <t>DOP/155/16</t>
  </si>
  <si>
    <t>DOP/109/16</t>
  </si>
  <si>
    <t>DOP/084/16</t>
  </si>
  <si>
    <t>JUMAPA-CELAYA-OP-2016-53</t>
  </si>
  <si>
    <t>JUMAPA-CELAYA-OP-2016-55</t>
  </si>
  <si>
    <t>JUMAPA-CELAYA-OP-2016-77</t>
  </si>
  <si>
    <t>DOP/078/16</t>
  </si>
  <si>
    <t>DOP/108/16</t>
  </si>
  <si>
    <t>DOP/113/16</t>
  </si>
  <si>
    <t>DOP/022/16</t>
  </si>
  <si>
    <r>
      <t xml:space="preserve">Construcción de Red de Alumbrado Público del Acceso Al Panteón de la Comunidad de </t>
    </r>
    <r>
      <rPr>
        <sz val="12"/>
        <color indexed="8"/>
        <rFont val="Arial"/>
        <family val="2"/>
      </rPr>
      <t>Juan Martín, Municipio de Celaya, Gto. (PIDMC) AE-07-PIDMC-2016-Q052-0039</t>
    </r>
  </si>
  <si>
    <t>IMUVI</t>
  </si>
  <si>
    <t>JUMAPA-CELAYA-OP-2016-58</t>
  </si>
  <si>
    <r>
      <t xml:space="preserve">Rehabilitación de la Red de Drenaje Sanitario en la calle Miguel Hidalgo tramo de la calle Francisco I. Madero a la calle Aldama de la Comunidad de </t>
    </r>
    <r>
      <rPr>
        <sz val="12"/>
        <rFont val="Calibri"/>
        <family val="2"/>
      </rPr>
      <t>San Elías (PIDMC) Anexo AE-07-PIDMC-2016-Q0252-0065 (DGDS/AJ/TR/03/2016)</t>
    </r>
  </si>
  <si>
    <t>JUMAPA-CELAYA-OP-2016-38</t>
  </si>
  <si>
    <t>Rehabilitación de la Red de Drenaje sanitario en la calle Francisco I. Madero tramo de la calle Francisco Villa a la calle Lázaro Cárdenas dela Comunidad de San Elías (PIDMC) Anexo AE-07-PIDMC-2016-Q0252-0065 (DGDS/AJ/TR/03/2016)</t>
  </si>
  <si>
    <t>DOP/039/16</t>
  </si>
  <si>
    <t>Ampliación de Red Electrica en la calle Guayabo, Loc. Ejido de Silva (San Isidro)  (PISBCC) AE-07-PISBCC-2016-Q0251-051</t>
  </si>
  <si>
    <t>DOP/047/16</t>
  </si>
  <si>
    <t>DOP/079/16</t>
  </si>
  <si>
    <t>DOP/106/16</t>
  </si>
  <si>
    <t>DOP/107/16</t>
  </si>
  <si>
    <t>DOP/136/16</t>
  </si>
  <si>
    <r>
      <t xml:space="preserve">Construccion de cuartos adicionales y Baños, en las Comunidades de Rincón de Tamayo, San Juan de la Vega y La Aurora: </t>
    </r>
    <r>
      <rPr>
        <i/>
        <sz val="12"/>
        <color indexed="8"/>
        <rFont val="Calibri"/>
        <family val="2"/>
      </rPr>
      <t>"Construcción de cuartos y baños en las comunidades de la Aurora, San Juan de la Vega y Rincón de Tamayo"</t>
    </r>
  </si>
  <si>
    <t>DOP/130/16</t>
  </si>
  <si>
    <t>Construccion de 15 cuartos dormitorios en varias comunidades del Municipio de celaya, Gto.</t>
  </si>
  <si>
    <t>TOTAL  FAISM  2016</t>
  </si>
  <si>
    <t>FONDO I 2015</t>
  </si>
  <si>
    <t>DOP125/15</t>
  </si>
  <si>
    <t>PISBCC (Municipal): Red de alumbrado publico en calle Hidalgo Comunidad La Machuca  (Anexo AE-07-PISBCC-2015-Q0251-0061)</t>
  </si>
  <si>
    <t>DOP116/15</t>
  </si>
  <si>
    <t>PISBCC (Municipal): Red de alumbrado publico en camino Rincon de Tamayo Comunidad Canoas (Anexo AE-07-PISBCC-2015-Q0251-0049)</t>
  </si>
  <si>
    <t xml:space="preserve">APORTACION A JUMAPA </t>
  </si>
  <si>
    <t>TOTAL  FAISM  2015</t>
  </si>
  <si>
    <t>FONDO I 2014</t>
  </si>
  <si>
    <t>TOTAL  FAISM  2014</t>
  </si>
  <si>
    <t>FORTAMUN 2016</t>
  </si>
  <si>
    <t>IMIPE</t>
  </si>
  <si>
    <t xml:space="preserve">Elaboracion del proyecto Tramo: Tresguerras a la Autopista </t>
  </si>
  <si>
    <t>DOP/040/16</t>
  </si>
  <si>
    <t>Instalaciones del Área de Detención Municipal en la Comandancia Sur en la Zona Centro (Pípila) (Rehabilitación).</t>
  </si>
  <si>
    <t>DOP/008/17</t>
  </si>
  <si>
    <t>Obras complementarias (Instalación electrica y jardinería) en la calle El Carmen Tramo: Calle Alváro Obregón a Calle Benito Juárez</t>
  </si>
  <si>
    <t>DOP/004/17</t>
  </si>
  <si>
    <t xml:space="preserve">DOP/010/16  </t>
  </si>
  <si>
    <r>
      <t>Parque Central Xochipilli: Conclusion de edificio de Galerias en Parque Xochipilli 3era Seccion.</t>
    </r>
    <r>
      <rPr>
        <b/>
        <sz val="12"/>
        <color indexed="10"/>
        <rFont val="Calibri"/>
        <family val="2"/>
      </rPr>
      <t xml:space="preserve"> </t>
    </r>
  </si>
  <si>
    <t>DOP/009/16</t>
  </si>
  <si>
    <t>Modificacion de linea de 115 KV No. 73330 sobre vialidad  Sur-oriente (Glorieta El Peral) Río Laja</t>
  </si>
  <si>
    <t>DOP/043/16</t>
  </si>
  <si>
    <t xml:space="preserve">Programa Construcción y/o Rehabilitación de Banquetas en el Municipio: Construcción y/o Rehabilitación de banquetas en la Av. México Japón </t>
  </si>
  <si>
    <t>DOP/006/17</t>
  </si>
  <si>
    <t>Camino Trojes- Juan Martín</t>
  </si>
  <si>
    <t>Rehabilitación piso area de juegos infantiles en la Alameda</t>
  </si>
  <si>
    <t>DOP/005/17</t>
  </si>
  <si>
    <t>Museo de Arte Octavio Ocampo.</t>
  </si>
  <si>
    <t>DOP/159/16</t>
  </si>
  <si>
    <t xml:space="preserve">Mantenimiento  y Restauración de Casa de la Cultura. </t>
  </si>
  <si>
    <t>DOP/114/16</t>
  </si>
  <si>
    <t>Mantenimiento y Restauración de Casa del Diezmo.</t>
  </si>
  <si>
    <t>DOP/061/16</t>
  </si>
  <si>
    <t xml:space="preserve">Construcción De Pista De Trote De 1 Milla De Longitud En Deportiva Norte Col. Ciudad Industrial  </t>
  </si>
  <si>
    <t>DOP/085/16</t>
  </si>
  <si>
    <r>
      <t xml:space="preserve">Parque Valle De Los Naranjos </t>
    </r>
    <r>
      <rPr>
        <sz val="12"/>
        <rFont val="Calibri"/>
        <family val="2"/>
      </rPr>
      <t>(PREP) 2da Etapa</t>
    </r>
  </si>
  <si>
    <t>DOP/055/16</t>
  </si>
  <si>
    <t xml:space="preserve">Reposicion de alcantarilla en la calle Real del Potosi </t>
  </si>
  <si>
    <t>DOP/046/16</t>
  </si>
  <si>
    <t xml:space="preserve">Mantenimiento de Calles y Avenidas: Reposición de lozas de concreto en arroyo de Boulevard Adolfo López mateos  (Tramo: Av. Paseo de Guanajuato- Calle Jacarandas) </t>
  </si>
  <si>
    <t>DOP/057/16</t>
  </si>
  <si>
    <t>Bacheo Superficial Aislado del eje Nor Oriente (Tramo Prolongación Irrigación - Av. México Japón) en el Municipio de Celaya, Gto.</t>
  </si>
  <si>
    <t>DOP/058/16</t>
  </si>
  <si>
    <t>Bacheo Superficial y Riego de Sello Premezclado Sincronizado de la Av. 12 de octubre (Tramo: Calle Concepción Beistegui-Av. Torres Landa) en el Municipio de Celaya, Gto.</t>
  </si>
  <si>
    <t>DOP/059/16</t>
  </si>
  <si>
    <t>Bacheo Superfuicial Aislado de la Avenida Lázaro Cárdenas Cuerpo Central y Laterales  (Tramo Av. Constituyentes - Libramiento Sur) en el Municipio de Celaya, Gto.</t>
  </si>
  <si>
    <t>DOP/122/16</t>
  </si>
  <si>
    <t>Bacheo Superficial Aislado y Riego de sello Premezclado Sincronizado de la Av. Constituyentes Poniente (Tramo Calle Sierra Negra  - Calle Henry  Dunant), en el Municipio de celaya, Gto.,</t>
  </si>
  <si>
    <t>DOP/121/16</t>
  </si>
  <si>
    <t>Renivelacion de carpeta asfaltica y riego de sello premezclado sincronizado de eje nor oriente (Tramo: Lindero Holiday Inn y Escuela Uni American - Av. La Cano), en el Municipio de Celaya, Gto.</t>
  </si>
  <si>
    <t>S-DOP/006/16</t>
  </si>
  <si>
    <t>Supervision externa de la construccion de cuarto dormitorio en San Juan de la Vega, . La Aurora, Lagos, Roque, Tenería del Santuario, Ejidal y San José de Guanajuato.</t>
  </si>
  <si>
    <t>S-DOP/008/16</t>
  </si>
  <si>
    <t>Supervision externa de la construccion de cuarto dormitorio en San Miguel Octopan, Rincón de Tamayo, Juan Martín y San Isidro Crespo</t>
  </si>
  <si>
    <t>S-DOP/007/16</t>
  </si>
  <si>
    <t>Supervision externa de la autoconstruccion de 27 viviendas y 152 ampliaciones de vivienda "Mi Casa Diferente" en 46 comunidades  y 11 colonias en el Municipio de Celaya.</t>
  </si>
  <si>
    <t>S-DOP-021/16</t>
  </si>
  <si>
    <t>Supervision externa de la obra Mejoramiento de la imagen urbana del centro historico Paseo de Guadalupe Cuarta Etapa</t>
  </si>
  <si>
    <t>S-DOP-022/16</t>
  </si>
  <si>
    <t>Supervision externa de la obra: Pavimentación de la Calle Hermanos Serdán en la Col. Emiliano Zapata</t>
  </si>
  <si>
    <t>S-DOP-020/16</t>
  </si>
  <si>
    <t>Supervision Externa de la obra: Pavimentación  de la Calle Plan de Navidad de la Col. Lázaro Cárdenas</t>
  </si>
  <si>
    <t>S-DOP-019/16</t>
  </si>
  <si>
    <t xml:space="preserve">Supervision Externa de la obra: Pavimento de Concreto Hidraúlico, Guarniciones y Banquetas Calle Paraíso tramo: Calle Peral a Calle Arrallanes, Col. Del Bosque 2da Seccion </t>
  </si>
  <si>
    <t xml:space="preserve">Supervision Externa de la obra: Pavimentación de la Calle Nicolas Bravo, Comunidad de San Miguel Octopan </t>
  </si>
  <si>
    <t>S-DOP-018/16</t>
  </si>
  <si>
    <t>Supervision externa de la obra Pavimentacion de la Calle Segunda Privada de las Américas en la Col. Las Américas</t>
  </si>
  <si>
    <t>Supervision externa de la obra  Pavimentacion de la calle Felipe Angeles, Primera Fraccion de crespo (el Molino)</t>
  </si>
  <si>
    <t>Supervision externa de la obra: Pavimentacion de concreto hidraulico, guarniciones y banquetas  Calle francisco Villa , Tramo desde donde tremina el pavimento actual hasta el 0+3040 Rincon de Tamayo</t>
  </si>
  <si>
    <t>S-DOP/023/16</t>
  </si>
  <si>
    <t>Supervision externa de la obra Construccion de cuartos y baños en las comunidades de la Aurora, San Juan de la vega y Rincon de Tamayo</t>
  </si>
  <si>
    <t>Supervision externa de la obra Construccion de 62 techos dignos en la zona urbana y los Polos I, II, III y IV del Municipio de celaya, Gto.,</t>
  </si>
  <si>
    <t>S-DOP/024/16</t>
  </si>
  <si>
    <t>Supervision externa de la obra: Crucero de la Glorieta de Los Fundadores</t>
  </si>
  <si>
    <t>Estudios y Proyectos</t>
  </si>
  <si>
    <t>TOTAL  FORTAMUN  2016</t>
  </si>
  <si>
    <t>FORTAMUN 2015</t>
  </si>
  <si>
    <t>DOP/104/15</t>
  </si>
  <si>
    <t xml:space="preserve">Continuación de mejoramiento de imagen urbana del centro histórico. </t>
  </si>
  <si>
    <t>DOP/011/16</t>
  </si>
  <si>
    <t>Obras complementarias en Gimnasio Voley Bol MAV: Construcción de gimnasio de voleibol en la Unidad Deportiva Miguel Alemán Váldez 3ra Etapa, en el Municipio de Celaya, Gto.</t>
  </si>
  <si>
    <t>DOP/216/11</t>
  </si>
  <si>
    <t>Riego de Sello en Estacionamiento del Auditorio Francisco eduardo Tresguerras, Municipio de Celaya</t>
  </si>
  <si>
    <t>DOP/154/16</t>
  </si>
  <si>
    <t>Cercado perimetral de campo de beisbol de prácticas no. 3 en la deportiva norte (Complemento)</t>
  </si>
  <si>
    <t>DOP/156/16</t>
  </si>
  <si>
    <t>Reposicion de transformador monofasico de 10 kv Eje Sur Oriente Celaya, Gto.,</t>
  </si>
  <si>
    <t>DOP/138/16</t>
  </si>
  <si>
    <t>DOP/122/10</t>
  </si>
  <si>
    <t>Pavimento de concreto asfaltico, guarniciones y banquetas calle Rafael Zamarroni Tramo Cad 0+260 al 0+430,81 cuerpo poniente</t>
  </si>
  <si>
    <t>S-DOP/001/17</t>
  </si>
  <si>
    <t>Supervision externa de la obra Rehabilitacion Av Manuel J. Clouthier (3 contratos)</t>
  </si>
  <si>
    <t>DOP/007/17</t>
  </si>
  <si>
    <t>Enmallado de dos puentes peatonales en el parque lineal bicentenario</t>
  </si>
  <si>
    <t>Mejoramiento de barda perimetral acceso de entrada y salida de la escuela secundaria tecnica no.3 (complemento)</t>
  </si>
  <si>
    <t>Ampliación de Red de Drenaje Sanitario Comunidad  San Elías (Complemento)</t>
  </si>
  <si>
    <t>DOP/074/16</t>
  </si>
  <si>
    <t>Rehabilitación De Cancha De Basquetbol De Prácticas En Esq. Calles Sierra Morena Y Sierra Negra Col. 1ra. Secc. Arboledas (Convenio de ampliacion)</t>
  </si>
  <si>
    <t>TOTAL  FORTAMUN  2015</t>
  </si>
  <si>
    <t>FORTAMUN 2012</t>
  </si>
  <si>
    <t>TOTAL  FORTAMUN  2012</t>
  </si>
  <si>
    <t>MUNICIPAL 2016</t>
  </si>
  <si>
    <t>Construccion de una comandancia compacta en la zona urbana (AV. LAS TORRES)</t>
  </si>
  <si>
    <t>DOP/143/16</t>
  </si>
  <si>
    <t>Elevacion de la linea LAT Celaya uno- Celaya Industrial  115 KV sobre el distribuidor vial Av Constituyentes y Paseo del Bajio</t>
  </si>
  <si>
    <t>DOP/153/16</t>
  </si>
  <si>
    <t>Mantenimiento y mejoramiento de instalaciones del Rastro Municipal</t>
  </si>
  <si>
    <t>DOP/134/16</t>
  </si>
  <si>
    <t xml:space="preserve">Crucero de la Glorieta de  los Fundadores </t>
  </si>
  <si>
    <t>Guanajuato Patrimonio</t>
  </si>
  <si>
    <t>Templo de San Nicolas Tolentino (FOREMOBA)</t>
  </si>
  <si>
    <t>Templo Santiago Apóstol (Santiaguito) (FOREMOBA)</t>
  </si>
  <si>
    <t>Templo de San Agustín (FOREMOBA)</t>
  </si>
  <si>
    <t>Templo de la Tercera Orden (FOREMOBA)</t>
  </si>
  <si>
    <t xml:space="preserve">Cercado perimetral de campo de beisbol de prácticas no. 3 en la deportiva norte </t>
  </si>
  <si>
    <t>DOP/076/16</t>
  </si>
  <si>
    <t xml:space="preserve">Construcción De Gimnasio Al Aire Libre En Deportiva Norte Col. Ciudad Industrial </t>
  </si>
  <si>
    <t>DOP/075/16</t>
  </si>
  <si>
    <t xml:space="preserve">Construcción De Gimnasio Al Aire Libre En Parque Valle Residencial </t>
  </si>
  <si>
    <t xml:space="preserve">Rehabilitación De Cancha De Basquetbol De Prácticas En Esq. Calles Sierra Morena Y Sierra Negra Col. 1ra. Secc. Arboledas </t>
  </si>
  <si>
    <t>DOP/073/16</t>
  </si>
  <si>
    <t>Rehabilitación De 2 Canchas De Usos Múltiples En La Deportiva Miguel Alemán Valdez</t>
  </si>
  <si>
    <t>DOP/135/16</t>
  </si>
  <si>
    <t xml:space="preserve">Construccion de 62 techos dignos en la zona urbana y polos I, II , III y IV del Municipio de Celaya, Gto. </t>
  </si>
  <si>
    <t>DOP/145/16</t>
  </si>
  <si>
    <r>
      <t xml:space="preserve">Parque De Los Naranjos. 1ra. Sección </t>
    </r>
    <r>
      <rPr>
        <sz val="12"/>
        <rFont val="Calibri"/>
        <family val="2"/>
      </rPr>
      <t>(PREP)</t>
    </r>
  </si>
  <si>
    <t>DOP/0120/16</t>
  </si>
  <si>
    <t>Construcción de 28 cuartos adicionales en los Polos I y II del Municipio de Celaya, gto.</t>
  </si>
  <si>
    <t>DOP/0123/16</t>
  </si>
  <si>
    <t>Construcción de 26 cuartos adicionales en la zona urbana y los Polos I, III y IV del Municipio de Celaya, gto.</t>
  </si>
  <si>
    <t>DOP/126/16</t>
  </si>
  <si>
    <t>Construccion de 31 baños en los polos I y II del Municipio de Celaya, Gto.,</t>
  </si>
  <si>
    <t>DOP/125/16</t>
  </si>
  <si>
    <t>Construccion de 30 baños en los polos I, III y IV del Municipio de Celaya, Gto.,</t>
  </si>
  <si>
    <t>Construccion de 62 techos dignos en la zona urbana y polos I, II , III y IV del Municipio de Celaya, Gto. (1 techo)</t>
  </si>
  <si>
    <t>DOP/141/16</t>
  </si>
  <si>
    <t>Bacheo superficial aislado de la Av. México Japón  (Tramo Vias de FFCC a curva col. Gobernadores)</t>
  </si>
  <si>
    <t>S-DOP/014/16</t>
  </si>
  <si>
    <t>Elaboracion de carpeta asafaltica para el Municipio de Celaya, Gto., (Segunda donacion pemex)</t>
  </si>
  <si>
    <t>DOP/157/16</t>
  </si>
  <si>
    <t>Bacheo Superficial aislado de las calles Av. El Sauz (Av Ferrocarril Central - Eje Clouthier), Paseo de San Nicolas  (Av. Constituyentes - Eje juan Pablo II) y Av. Torres Landa (Av. Sauz - Eje Clouthier), en el Municipio de Celaya, Gto.,</t>
  </si>
  <si>
    <t>DOP/158/16</t>
  </si>
  <si>
    <t>Aplicación de riego de sello premezclado sincronozado y renivelaciones del acceso norte tramo Glorieta Juventino Rosas a Plan de la Noria, Celaya, Gto.</t>
  </si>
  <si>
    <t>S-DOP/009/16</t>
  </si>
  <si>
    <t>Trabajos de control de calidad en obras diversas a efectuarse en los años 2016-2017 en el Municipio de Celaya, Gto.,</t>
  </si>
  <si>
    <t>S-DOP/010/16</t>
  </si>
  <si>
    <t xml:space="preserve">Supervision de la obra: Auto construccion de recamara (Ampliacion) del programa "Mi Casa Diferente" "MI Hogar con Valores 2016"  en la segunda etapa, en 44  Comunidades del Municipio de Celaya, Gto., </t>
  </si>
  <si>
    <t>S-DOP/011/16</t>
  </si>
  <si>
    <t>Supervision externa de la obra: Pavimentacion de la calle Lazaro Cardenas Localidad de San Elias</t>
  </si>
  <si>
    <t>Supervision externa de la obra: Pavimentacion de la calle Ejido segunda fraccion de Crespo, Col. Monteblanco</t>
  </si>
  <si>
    <t>S-DOP/013/16</t>
  </si>
  <si>
    <t>Supervison externa de la obra Pavimentacion de la calle Ignacio allende , Localidad San Isidro Crespo</t>
  </si>
  <si>
    <t>Supervison externa de la obra Pavimentacion de la calle Ejido de Cerro Prieto, Col. Monteblanco</t>
  </si>
  <si>
    <t>S-DOP-012/16</t>
  </si>
  <si>
    <t>Supervison externa de la obra Pavimentacion de la calle V. Carranza Localidad San Elias</t>
  </si>
  <si>
    <t>Supervison externa de la obra Pavimentacion de la calle Emiliano Zapata Localidad de Estrada</t>
  </si>
  <si>
    <t>S-DOP-017/16</t>
  </si>
  <si>
    <t>Supervision externa de la construccion de 15 cuartos dormitorios en varias comunidades del Municipio de celaya, Gto.</t>
  </si>
  <si>
    <t>S-DOP-015/16</t>
  </si>
  <si>
    <t>Supervision externa a la obra: Pavimentacion de la Calle Plan de Corralitos de la Col. Lazaro cardenas</t>
  </si>
  <si>
    <t>S-DOP-016/16</t>
  </si>
  <si>
    <t>Supervision externa de la obra: Pavimentacion de lam privada para acceso al SABES Comunidad de San Jose de Guanajuato</t>
  </si>
  <si>
    <t>S-DOP/025/16</t>
  </si>
  <si>
    <t>Supervisión externa de la obra Pavimentación de la Calle Nuevo León , Localidad Estrada</t>
  </si>
  <si>
    <t>Supervisión externa de la obra pavimentacion de la calle Emiliano Zapata Localidad San Elías</t>
  </si>
  <si>
    <t>S-DOP/002/17</t>
  </si>
  <si>
    <t>Supervision externa de la obra Construccion de Macrocelda</t>
  </si>
  <si>
    <t>S-DOP/003/17</t>
  </si>
  <si>
    <t>Supervision Externa de la obra aplicación de riego de sello premezclado sincronizado y renivelaciones del Acceso Norte (tramo Glorieta Juventino Rosas a Plan de la Noria Celaya, Gto.,)</t>
  </si>
  <si>
    <t>TOTAL  MUNICIPAL 2016</t>
  </si>
  <si>
    <t>MUNICIPAL 2015</t>
  </si>
  <si>
    <t>DOP/146/16</t>
  </si>
  <si>
    <r>
      <t xml:space="preserve">Centro de atención o Infraestructura para Personas con Discapacidad: </t>
    </r>
    <r>
      <rPr>
        <i/>
        <sz val="12"/>
        <rFont val="Calibri"/>
        <family val="2"/>
      </rPr>
      <t>" Modulo de entrenamiento para personas con discapacidad 1er etapa (Unidad Municipal de rehabilitación del DIF, col San Juanico)</t>
    </r>
  </si>
  <si>
    <t>Aportación Municipal Programa Autoproducción de Vivienda</t>
  </si>
  <si>
    <t>TOTAL  MUNICIPAL 2015</t>
  </si>
  <si>
    <t>TOTAL REMANENTES 2016</t>
  </si>
  <si>
    <t>DOP/009/17</t>
  </si>
  <si>
    <t>DOP/011/17</t>
  </si>
  <si>
    <t>DOP/010/17</t>
  </si>
  <si>
    <t>ESTATAL 2016</t>
  </si>
  <si>
    <t>PROGRAMA ZONA METROPLITANA</t>
  </si>
  <si>
    <t>IMIPIE/02/ZMLB/2014</t>
  </si>
  <si>
    <t>Puente Celaya Comonfort</t>
  </si>
  <si>
    <t>PROGRAMA DE IMPULSO AL DESARROLLO DE MI COMUNIDAD (PIDMC) 2016</t>
  </si>
  <si>
    <t>Construcción de Techumbre Prim. Vicente Guerrero Comunidad de Juan Martin Cancha de Usos Múltiples</t>
  </si>
  <si>
    <t>Construcción de Techumbre en Cancha de Usos Múltiples en Escuela Telesecundaria 215 Comunidad Santa María del Refugio</t>
  </si>
  <si>
    <t>JUMAPA-CELAYA-OP-2016-54 (98)</t>
  </si>
  <si>
    <t>Rehabilitación  de la  Red de Drenaje   1a. Cerrada Flores Magón Comunidad La Aurora</t>
  </si>
  <si>
    <t>PROGRAMA PISBCC 2015</t>
  </si>
  <si>
    <t>JUMAPA CELAYA-OP-2015-082</t>
  </si>
  <si>
    <r>
      <t xml:space="preserve">Construcción de Red de Drenaje Sanitario en la Colonia Paraíso 3ra. Seccion Ejido de Silva  </t>
    </r>
    <r>
      <rPr>
        <sz val="12"/>
        <color indexed="10"/>
        <rFont val="Arial"/>
        <family val="2"/>
      </rPr>
      <t>Fafef Est.</t>
    </r>
  </si>
  <si>
    <t>PROGRAMA PISBCC 2016</t>
  </si>
  <si>
    <t>JUMAPA-CELAYA-OP-2016-46       ANEXO - 079</t>
  </si>
  <si>
    <t>Ampliación de la Red de Drenaje Sanitario en la Calle Aguascalientes    Fais-Estatal</t>
  </si>
  <si>
    <t>JUMAPA-CELAYA-OP-2016-45       ANEXO - 079</t>
  </si>
  <si>
    <t>Ampliación de la Red de Agua Potable en la Calle Aguascalientes, Tramo Calle Miguel Hidalgo al Fondo        FAIS-Estatal</t>
  </si>
  <si>
    <t>JUMAPA-CELAYA-OP-2016-70       ANEXO - 169</t>
  </si>
  <si>
    <t>Rehabilitación de la Red de Drenaje Sanitario en Varias Calles Comunidad de Roque 100% Deuda</t>
  </si>
  <si>
    <t>CODE 2016</t>
  </si>
  <si>
    <t>Construcción de Pista de Trote 1 Milla de Longitud en Deportiva Norte Col. Ciudad Industrial</t>
  </si>
  <si>
    <t>Construcción de Gimnasio al Aire Libre en Deportiva Norte Col. Ciudad Industrial</t>
  </si>
  <si>
    <t>Construcción de Gimnasio al Aire Libre en Parque Valle Residencial</t>
  </si>
  <si>
    <t>Rehabilitación de Cancha de Basquetbol de Practicas en Esq. Calles Sierra Morena y Sierra Negra Col 1era Sección de Arboledas</t>
  </si>
  <si>
    <t>Rehabilitación de 2 Canchas de Basquetbol en la Deportiva Miguel Alemán Valdez</t>
  </si>
  <si>
    <t>PROGRAMA IMPULSO AL TEJIDO SOCIAL</t>
  </si>
  <si>
    <t>Pavimentación de la Calle Ejido de San Felipe, Col. Monteblanco</t>
  </si>
  <si>
    <t>Pavimentación de la Calle Constituyentes, Com. La Aurora</t>
  </si>
  <si>
    <t>Pavimentación de la Calle Francisco Márquez, Tenería del Santuario</t>
  </si>
  <si>
    <t>Electrificación de la Calle Albino García, Rincón de Tamayo</t>
  </si>
  <si>
    <t>Pavimentación de la Calle Ejido de La Machuca, Col. Monteblanco</t>
  </si>
  <si>
    <t>Pavimentación de la Calle Pípila, San Elías</t>
  </si>
  <si>
    <t>Pavimentación de la Calle Huerta de Los Naranjos, Col. Huertas (Polígono Col.Pedro Ma. Anaya)</t>
  </si>
  <si>
    <t>Pavimentación de la Calle Ignacio Zaragoza, San Isidro Crespo</t>
  </si>
  <si>
    <t>Pavimentación de la Calle Pino Suarez, San José de Guanajuato</t>
  </si>
  <si>
    <t>Pavimentación de la Calle Plan Sexenal, Col. Patria Nueva</t>
  </si>
  <si>
    <t>Pavimentación de la Calle Coronel Eleuterio Méndez Col. Pedro Ma. Anaya</t>
  </si>
  <si>
    <t>Pavimento Guarn. y Banq. Calle Francisco Villa, San José Yustis</t>
  </si>
  <si>
    <t>Pavimento Guarn. y Banq. Calle Eucalipto, Gasca</t>
  </si>
  <si>
    <t>Electrificación de la Calle Francisco Márquez Tramo: Campo Deportivo a Niños Héroes, Tenería del Santuario</t>
  </si>
  <si>
    <t>Electrificación de la Calle Sin Nombre, Tamayo</t>
  </si>
  <si>
    <t>Pavimentación de la Calle Huerta de Los Ciruelos Col. Las Huertas, (Polígono Col. Pedro Ma. Anaya)</t>
  </si>
  <si>
    <t>Pavimentación de la Calle Francisco J. Mujica Col. Patria Nueva</t>
  </si>
  <si>
    <t>Pavimentación de la Calle Nicolás Bravo, San Miguel Octopan</t>
  </si>
  <si>
    <t>Pavimentación le la Calle Emiliano Zapata, Com. San Isidro Crespo</t>
  </si>
  <si>
    <t>Pavimentación de la Calle Vicente Guerrero, San Elías</t>
  </si>
  <si>
    <t>Pavimentación de la Calle Plan de Navidad, Col. Lázaro Cárdenas</t>
  </si>
  <si>
    <t>Pavimentación de la Calle Emiliano Zapata, Com. Estrada</t>
  </si>
  <si>
    <t>Pavimentación de la Calle V. Carranza, San Elías</t>
  </si>
  <si>
    <t>Pavimentación de la Calle Guanajuato, San Isidro Crespo</t>
  </si>
  <si>
    <t>Pavimentación de la Calle Ignacio Allende,  San Isidro Crespo</t>
  </si>
  <si>
    <t>Pavimentación de la Calle Ejido Cerro Prieto, Col. Monteblanco</t>
  </si>
  <si>
    <t>Pavimentación de la Calle Ejido Segunda Fracc. de Crespo, Col. Monteblanco</t>
  </si>
  <si>
    <t>Pavimentación de la Calle Lázaro Cárdenas, Com. San Elías</t>
  </si>
  <si>
    <t>Pavimentación de la Calle Emiliano Zapata, Com. San Elías</t>
  </si>
  <si>
    <t>Pavimentación de la Calle Nuevo León, Com. Estrada</t>
  </si>
  <si>
    <t>Pavimentación de la Calle Segunda Privada de Las Américas, Col. Las Américas</t>
  </si>
  <si>
    <t>Pavimentación de la Calle Felipe Ángeles, Com. Primera Fracc. de Crespo (El Molino)</t>
  </si>
  <si>
    <t>Rehabilitación de Alumbrado Público San Juan de la Vega</t>
  </si>
  <si>
    <t>Alumbrado Público en la Calle Francisco I. Madero, San Elías</t>
  </si>
  <si>
    <t>Pavimento de la Calle Plan de Corralitos, Col. Lázaro Cárdenas</t>
  </si>
  <si>
    <t>Pavimentación de la Calle Hermanos Serdán, Col. Emiliano Zapata</t>
  </si>
  <si>
    <t>Pavimento de Concreto Hidráulico, Guarniciones y Banquetas Calle Paraíso, Tramo: Peral-Arrayanes, Col. Del Bosque 2da. Secc.</t>
  </si>
  <si>
    <t>Pavimento de Concreto Hidráulico, Guarniciones y Banquetas Calle Francisco Villa, Tramo: Desde donde termina el Pavimento Actual Hasta el 0.340, Com. Rincón de Tamayo</t>
  </si>
  <si>
    <t>Pavimentación de la Privada Para Acceso al Sabes, San José de Guanajuato</t>
  </si>
  <si>
    <t>Pavimentación Calle Obregon Com. San Anotnio Gallardo, (Poligono San Juan de La Vega)</t>
  </si>
  <si>
    <t>Pavimentación de la Calle Morelos, Com. San Elias</t>
  </si>
  <si>
    <t>Unidad Deportiva San Juan De La Vega, Segunda Etapa</t>
  </si>
  <si>
    <t>2da. Etapa de Parque San Isidro Crespo</t>
  </si>
  <si>
    <t>2da. Etapa de Parque Patria Nueva</t>
  </si>
  <si>
    <t>JUMAPA-2016</t>
  </si>
  <si>
    <t>Ampliación de Red de Drenaje Sanitario, Com. San Elias</t>
  </si>
  <si>
    <t>TOTAL REMANENTES ESTATALES</t>
  </si>
  <si>
    <t>FEDERAL 2016</t>
  </si>
  <si>
    <t>PROGRAMA PR "A" 2016</t>
  </si>
  <si>
    <t>Pavimentación de concreto hidraulico, guarniciones y banquetas calle Chihuahua (Priv.Piedra Negras-4ta.Priv Chihuahua) Col. Rancho Seco</t>
  </si>
  <si>
    <t>Pavimentación de concreto hidraulico, guarniciones y hidraulico, guarniciones y banquetas calle Rubí (Gabilondo Soler-Cristal) Col. Imperial</t>
  </si>
  <si>
    <t>Pavimentación de concreto hidraulico, guarniciones y banquetas calle Limón (Piñon-Ciruelo) Col. Paraíso</t>
  </si>
  <si>
    <t>Pavimentación de concreto hidraulico, guarniciones y banquetas calle Emiliano Zapata (carr.Juventino Rosas-Campos de futbol) Com. San Jose de Yustis</t>
  </si>
  <si>
    <t>Pavimentación de concreto hidraulico, guarniciones y banquetas calle Allende (Laureles-Guerrero) Com. Los Huesos</t>
  </si>
  <si>
    <t>Pavimentación de concreto hidraulico, guarniciones y banquetas calle Hermanos Serdán (Fco.I Madero-Miguel Hidalgo) Com. La Concepción</t>
  </si>
  <si>
    <t>PROGRAMA PDR"B" 2016</t>
  </si>
  <si>
    <t>Construcción de Polideportivo Gran Hacienda</t>
  </si>
  <si>
    <t>PROGRAMA FORTALE 2016</t>
  </si>
  <si>
    <t>Construcción de Gimnasio de Voleibol en la Unidad Deportiva Miguel Aleman Váldez 3ra. Etapa</t>
  </si>
  <si>
    <t>Ampliación de Parque de Convivencia Social Col. LA CALESA.</t>
  </si>
  <si>
    <t>Construcción de Parque de convivencia social Col. ALAMOS.</t>
  </si>
  <si>
    <t>Construcción de Polideportivo Valle de los Naranjos</t>
  </si>
  <si>
    <t>PROGRAMA ZONA METROPOLITANA 2016</t>
  </si>
  <si>
    <t>01/ZLMLB/2016</t>
  </si>
  <si>
    <t>Estudio Técnico Justificativo de la Ubicación de un Centro de Manejo Integral de Manejo de Residuos Sólidos para la Zona Metropolitana Laja Bajío</t>
  </si>
  <si>
    <t>TOTAL REMANENTES FEDERALES</t>
  </si>
  <si>
    <t>DEUDA (IMPULSO)</t>
  </si>
  <si>
    <t>DOP/056/16</t>
  </si>
  <si>
    <t>Electrificación De La Calle Albino García , Comunidad de Rincon de Tamayo.</t>
  </si>
  <si>
    <t>DOP/077/16</t>
  </si>
  <si>
    <t>Electrificación De La Calle Francisco Márquez Tramo: Campo Deportivo   A Niños Héroes, Comunidad de Tenería del Santuario.</t>
  </si>
  <si>
    <t>DOP/063/16</t>
  </si>
  <si>
    <t xml:space="preserve">Pavimentación de La Calle Pípila, Comunidad de San Elías. </t>
  </si>
  <si>
    <t>DOP/062/16</t>
  </si>
  <si>
    <t xml:space="preserve">Pavimentación De La Calle Ejido De La Machuca, Col. Monteblanco, Celaya. </t>
  </si>
  <si>
    <t>DOP/065/16</t>
  </si>
  <si>
    <t xml:space="preserve">Pavimentación De La Calle Ignacio Zaragoza, San Isidro Crespo. </t>
  </si>
  <si>
    <t>DOP/066/16</t>
  </si>
  <si>
    <t xml:space="preserve">Pavimentación De La Calle Pino Suarez, Comunidad de San José de Guanajuato. </t>
  </si>
  <si>
    <t>DOP/067/16</t>
  </si>
  <si>
    <t xml:space="preserve">Pavimentación De La Calle Plan Sexenal, Col. Patria Nueva, Celaya. </t>
  </si>
  <si>
    <t>DOP/068/16</t>
  </si>
  <si>
    <t xml:space="preserve">Pavimentación De Calle Coronel Eleuterio Méndez, Col. Pedro María Anaya, Celaya. </t>
  </si>
  <si>
    <t>DOP/064/16</t>
  </si>
  <si>
    <t xml:space="preserve">Pavimentación De La Calle Huerta De Los Naranjos, Col. Las Huertas, Celaya. (Polígono Col. Pedro María Anaya) </t>
  </si>
  <si>
    <t>DOP/004/16</t>
  </si>
  <si>
    <t>Pavimentacion de la Calle Ejido de san Felipe, Col.Monteblanco, Celaya.</t>
  </si>
  <si>
    <t>DOP/005/16</t>
  </si>
  <si>
    <t xml:space="preserve">Pavimentacion de la Calle Romeral, Comunidad de San Jose de Gto. </t>
  </si>
  <si>
    <t>DOP/006/16</t>
  </si>
  <si>
    <t>Pavimentación de la Calle Constituyentes en la Comunidad de la Aurora.</t>
  </si>
  <si>
    <t>DOP/007/16</t>
  </si>
  <si>
    <t>Pavimentacion de la Calle Francisco Marquez en la Comunidad de Tenería del Santuario.</t>
  </si>
  <si>
    <t>DOP/140/16</t>
  </si>
  <si>
    <t xml:space="preserve">2da Etapa de Parque Patria Nueva (Plazas y Jardines) </t>
  </si>
  <si>
    <t>DOP/139/16</t>
  </si>
  <si>
    <t xml:space="preserve">2da Etapa de Parque San Isidro Crespo (Plazas y Jardines) </t>
  </si>
  <si>
    <t>DOP/105/16</t>
  </si>
  <si>
    <t xml:space="preserve">Pavimentación de la Calle Felipe Ángeles, Comunidad Primera Fracción de Crespo  (El Molino) </t>
  </si>
  <si>
    <t>Ampliación de Red de Drenaje Sanitario Comunidad  San Elías</t>
  </si>
  <si>
    <t>DOP/116/16</t>
  </si>
  <si>
    <t xml:space="preserve">Pavimentación de la Calle Hermanos Serdán en la Col. Emiliano Zapata </t>
  </si>
  <si>
    <t>DOP/103/16</t>
  </si>
  <si>
    <t>Pavimentación de la Calle Nuevo León, Comunidad de Estrada</t>
  </si>
  <si>
    <t>DOP/104/16</t>
  </si>
  <si>
    <t xml:space="preserve">Pavimentación de la Calle Segunda Privada de Las Américas en la Col. Las Américas </t>
  </si>
  <si>
    <t>DOP/115/16</t>
  </si>
  <si>
    <t xml:space="preserve">Pavimentación  de la Calle Plan de Corralitos de la Col. Lázaro Cárdenas AE-07-ITS-2016-Q1606-0139 </t>
  </si>
  <si>
    <t>DOP/094/16</t>
  </si>
  <si>
    <t xml:space="preserve">Pavimentación  de la Calle Plan de Navidad de la Col. Lázaro Cárdenas AE-07-ITS-2016-Q1606-0139 </t>
  </si>
  <si>
    <t>DOP/100/16</t>
  </si>
  <si>
    <t xml:space="preserve">Pavimentación de la Calle Ejido Segunda Fracc. de Crespo, Col. Monteblanco </t>
  </si>
  <si>
    <t>DOP/099/16</t>
  </si>
  <si>
    <t xml:space="preserve">Pavimentación de la Calle Ejido Cerro Prieto, Col. Monteblanco </t>
  </si>
  <si>
    <t>DOP/090/16</t>
  </si>
  <si>
    <t>Pavimentación de la Calle Francisco J. Mújica, Col Patria Nueva</t>
  </si>
  <si>
    <t>DOP/089/16</t>
  </si>
  <si>
    <t xml:space="preserve">Pavimentación de la Calle Huerta de Los Ciruelos, Col. Las Huertas (Póligono Col. Pedro María Anaya) AE-07-ITS-2016-Q1606-0073/MODIF-1 </t>
  </si>
  <si>
    <t>DOP/129/16</t>
  </si>
  <si>
    <t xml:space="preserve">Pavimentación de la Calle Obregón, Comunidad de San Antonio Gallardo (Poligono San Juan de la Vega) </t>
  </si>
  <si>
    <t>DOP/102/16</t>
  </si>
  <si>
    <t xml:space="preserve">Pavimentación de las Calle Emiliano Zapata, Comunidad San Elías </t>
  </si>
  <si>
    <t>DOP/101/16</t>
  </si>
  <si>
    <t>Pavimentación de la Calle Lázaro Cárdenas, Comunidad de San Elías</t>
  </si>
  <si>
    <t>DOP/131/16</t>
  </si>
  <si>
    <t xml:space="preserve">Pavimentación de la Calle Morelos, Comunidad de San Elías Anexo  AE-07-ITS-2016-Q1606-0148 </t>
  </si>
  <si>
    <t>DOP/096/16</t>
  </si>
  <si>
    <t xml:space="preserve">Pavimentación de la Calle V. Carranza, Comunidad de San Elías </t>
  </si>
  <si>
    <t>DOP/093/16</t>
  </si>
  <si>
    <t xml:space="preserve">Pavimentación de la Calle Vicente Guerrero, Comunidad de San Elías </t>
  </si>
  <si>
    <t>DOP/097/16</t>
  </si>
  <si>
    <t>Pavimentación de la Calle Guanajuato, Comunidad de San Isidro Crespo</t>
  </si>
  <si>
    <t>DOP/098/16</t>
  </si>
  <si>
    <t xml:space="preserve">Pavimentación de la Calle Ignacio Allende, Comunidad de San Isidro Crespo </t>
  </si>
  <si>
    <t>DOP/092/16</t>
  </si>
  <si>
    <t xml:space="preserve">Pavimentación de la Calle Emiliano Zapata, Comunidad de San Isidro Crespo </t>
  </si>
  <si>
    <t>DOP/124/16</t>
  </si>
  <si>
    <r>
      <t xml:space="preserve">Pavimentación de la Privada Para Acceso al Sabes, Comunidad San José de Guanajuato  </t>
    </r>
    <r>
      <rPr>
        <sz val="12"/>
        <rFont val="Calibri"/>
        <family val="2"/>
      </rPr>
      <t xml:space="preserve">AE-07-ITS-2016-Q1606-0094 </t>
    </r>
  </si>
  <si>
    <t xml:space="preserve">Unidad Deportiva  San Juan de la Vega 2da. Etapa,  Comunidad de San Juan de la Vega (Plazas y Jardines)  </t>
  </si>
  <si>
    <t>DOP/091/16</t>
  </si>
  <si>
    <t xml:space="preserve">Pavimentación de la Calle Nicolas Bravo, Comunidad de San Miguel Octopan </t>
  </si>
  <si>
    <t>PROGRAMA TEJIDO SOCIAL (SOP)</t>
  </si>
  <si>
    <t>REHABILITACION AV. MANUEL J. CLOUTHIER</t>
  </si>
  <si>
    <t>DOP/001/17</t>
  </si>
  <si>
    <t>Rehabilitación Av. Manuel J. Clouthier (Tramo Av. Salvador Ortega a Av. Tecnológico)</t>
  </si>
  <si>
    <t>DOP/002/17</t>
  </si>
  <si>
    <t>Rehabilitación Av. Manuel J. Clouthier (Tramo: Av. El Sauz a Av. Salvador Ortega)</t>
  </si>
  <si>
    <t>DOP/003/17</t>
  </si>
  <si>
    <t>Rehabilitación Av. Manuel J. Clouthier (Alumbrado Público Tramo: Av. El Sauz a Av. Las Torres)</t>
  </si>
  <si>
    <t>TOTAL  REMANENTES DEUDA (IMPULSO)</t>
  </si>
  <si>
    <t>DGOP/PIDMC-023/16</t>
  </si>
  <si>
    <t>DGOP/PIDMC-035/16</t>
  </si>
  <si>
    <t>DGOP/CODE/FFM/MPAL-061/16</t>
  </si>
  <si>
    <t>DGOP/CODE/MPAL-076/16</t>
  </si>
  <si>
    <t>DGOP/CODE/MPAL-075/16</t>
  </si>
  <si>
    <t>DGOP/CODE/MPAL-074/16</t>
  </si>
  <si>
    <t>DGOP/CODE/MPAL-073/16</t>
  </si>
  <si>
    <t>DGOP/ITS/FFM-004/16</t>
  </si>
  <si>
    <t>DGOP/ITS/FFM-006/16</t>
  </si>
  <si>
    <t>DGOP/ITS/FFM-007/16</t>
  </si>
  <si>
    <t>DGOP/ITS/IDF-056/16</t>
  </si>
  <si>
    <t>DGOP/ITS/IDF-062/16</t>
  </si>
  <si>
    <t>DGOP/ITS/IDF-063/16</t>
  </si>
  <si>
    <t>DGOP/ITS/IDF-064/16</t>
  </si>
  <si>
    <t>DGOP/ITS/IDF-065/16</t>
  </si>
  <si>
    <t>DGOP/ITS/IDF-066/16</t>
  </si>
  <si>
    <t>DGOP/ITS/IDF-067/16</t>
  </si>
  <si>
    <t>DGOP/ITS/IDF-068/16</t>
  </si>
  <si>
    <t>DGOP/ITS-069/16</t>
  </si>
  <si>
    <t>DGOP/ITS-070/16</t>
  </si>
  <si>
    <t>DGOP/ITS/IDF-077/16</t>
  </si>
  <si>
    <t>DGOP/ITS/IDF-083/16</t>
  </si>
  <si>
    <t>DGOP/ITS/IDF-089/16</t>
  </si>
  <si>
    <t>DGOP/ITS/IDF-090/16</t>
  </si>
  <si>
    <t>DGOP/ITS/IDF-091/16</t>
  </si>
  <si>
    <t>DGOP/ITS/IDF-092/16</t>
  </si>
  <si>
    <t>DGOP/ITS/IDF-093/16</t>
  </si>
  <si>
    <t>DGOP/ITS/IDF-094/16</t>
  </si>
  <si>
    <t>DGOP/ITS/IDF-095/16</t>
  </si>
  <si>
    <t>DGOP/ITS/IDF-096/16</t>
  </si>
  <si>
    <t>DGOP/ITS/IDF-097/16</t>
  </si>
  <si>
    <t>DGOP/ITS/IDF-098/16</t>
  </si>
  <si>
    <t>DGOP/ITS/IDF-099/16</t>
  </si>
  <si>
    <t>DGOP/ITS/IDF-100/16</t>
  </si>
  <si>
    <t>DGOP/ITS/IDF-101/16</t>
  </si>
  <si>
    <t>DGOP/ITS/IDF-102/16</t>
  </si>
  <si>
    <t>DGOP/ITS/IDF-103/16</t>
  </si>
  <si>
    <t>DGOP/ITS/IDF-104/16</t>
  </si>
  <si>
    <t>DGOP/ITS/IDF-105/16</t>
  </si>
  <si>
    <t>DGOP/ITS/IDF-110/16</t>
  </si>
  <si>
    <t>DGOP/ITS/IDF-111/16</t>
  </si>
  <si>
    <t>DGOP/ITS/IDF-115/16</t>
  </si>
  <si>
    <t>DGOP/ITS/IDF-116/16</t>
  </si>
  <si>
    <t>DGOP/ITS/IDF-117/16</t>
  </si>
  <si>
    <t>DGOP/ITS/IDF-118-/16</t>
  </si>
  <si>
    <t>DGOP/ITS/IDF-124/16</t>
  </si>
  <si>
    <t>DGOP/ITS/IDF-129/16</t>
  </si>
  <si>
    <t>DGOP/ITS/IDF-131/16</t>
  </si>
  <si>
    <t>DGOP/ITS/IDF-138/16</t>
  </si>
  <si>
    <t>DGOP/ITS/IDF-139/16</t>
  </si>
  <si>
    <t>DGOP/ITS/IDF-140/16</t>
  </si>
  <si>
    <t>DGOP/PR"A"-049/16</t>
  </si>
  <si>
    <t>DGOP/PR"A"-050/16</t>
  </si>
  <si>
    <t>DGOP/PR"A"-051/16</t>
  </si>
  <si>
    <t>DGOP/PR"A"-052/16</t>
  </si>
  <si>
    <t>DGOP/PR"A"-053/16</t>
  </si>
  <si>
    <t>DGOP/PR"A"-054/16</t>
  </si>
  <si>
    <t>DGOP/PDR"B"-112/16</t>
  </si>
  <si>
    <t>DGOP/FORTALECE-011/16</t>
  </si>
  <si>
    <t>DGOP/FORTALECE-014/16</t>
  </si>
  <si>
    <t>DGOP/FORTALECE-015/16</t>
  </si>
  <si>
    <t>DGOP/FORTALECE-071/16</t>
  </si>
  <si>
    <t>MOVIMIENTOS</t>
  </si>
  <si>
    <t>Convenio de Reducción por $ 49,781.29</t>
  </si>
  <si>
    <t>Rehabilitación y/o Adecuación de unidades médicas de la red Celaya (UMAPS)</t>
  </si>
  <si>
    <t>Comunidades: Juan Martín, Santa María del Refugio, San Isidro de Crespo y Tenería del Santuario</t>
  </si>
  <si>
    <t>Comunidad de San Juan de la Vega</t>
  </si>
  <si>
    <t>Comunidad El Puesto</t>
  </si>
  <si>
    <t>Comunidad de Rincón de Tamayo</t>
  </si>
  <si>
    <t>Colonia Villas del Bajio</t>
  </si>
  <si>
    <t>Comunidad de Roque</t>
  </si>
  <si>
    <t>Colonia La Mision</t>
  </si>
  <si>
    <t>Colonia Arboledas de San Rafael</t>
  </si>
  <si>
    <t>Colonia Ciudad Industrial</t>
  </si>
  <si>
    <t xml:space="preserve">Comunidad de San Miguel Octopan </t>
  </si>
  <si>
    <t xml:space="preserve">Comunidad de San Miguel Octopán </t>
  </si>
  <si>
    <t>Comunidad de Juan Martín</t>
  </si>
  <si>
    <t>Comunidad de Santa María del Refugio</t>
  </si>
  <si>
    <t>Zona Centro</t>
  </si>
  <si>
    <t>Parque Xochipilli</t>
  </si>
  <si>
    <t>Parque Urbano en las antiguas instalaciones de la Feria</t>
  </si>
  <si>
    <t>Antiguas instalaciones de la Feria</t>
  </si>
  <si>
    <t xml:space="preserve">Proyecto Integral para el Auditorio (Etapa básica), en el Parque Urbano  en el Municipio de Celaya  </t>
  </si>
  <si>
    <t>Construccion de modulo de gradas, para 300 personas y backstop campo de beisbol Rincón de Tamayo</t>
  </si>
  <si>
    <t>Proyecto de techumbre para  canchas de la unidad deportiva M.A.V. (Construcción de dos techumbres)</t>
  </si>
  <si>
    <t>Unidad Deportiva Miguel Alemán Valdés</t>
  </si>
  <si>
    <t>Colonia San Juanico</t>
  </si>
  <si>
    <t>Comunidad de Ojo Seco</t>
  </si>
  <si>
    <t>Colonia San Felipe</t>
  </si>
  <si>
    <t>Colonia Prol Emiliano Zapata.</t>
  </si>
  <si>
    <t>Colonia Bosques 1ra Secc.</t>
  </si>
  <si>
    <t>Colonia Paraíso 2da Secc.</t>
  </si>
  <si>
    <t>Colonia El Roble</t>
  </si>
  <si>
    <t>Colonia Prados del Naranjal</t>
  </si>
  <si>
    <t>Colonia Providencia de San Nicolás</t>
  </si>
  <si>
    <t>Colonia Las Granjas</t>
  </si>
  <si>
    <t>Colonia Los Carmeles</t>
  </si>
  <si>
    <t>Ampliación de la Red de Drenaje  Sanitario (PISBCC)</t>
  </si>
  <si>
    <t xml:space="preserve">Ampliación de la red de drenaje Sanitario </t>
  </si>
  <si>
    <t>Colonia Rinconada arboledas 1ER ETAPA</t>
  </si>
  <si>
    <t xml:space="preserve">Programa FORTALECE $ 24' 200,000.00 </t>
  </si>
  <si>
    <t>Colonia Rinconada San Miguel</t>
  </si>
  <si>
    <t>Colonias Reforma y Revolución</t>
  </si>
  <si>
    <t>Colonia San José de Torres</t>
  </si>
  <si>
    <t>Programa FORTALECE (Retenciones del 1 al millar (ASF) y el 1% (SHCP))</t>
  </si>
  <si>
    <t>Construcción de planta  de tratamiento, vialidades y obras complementarias en el campus II del Instituto Tecnologico de Celaya, Gto.</t>
  </si>
  <si>
    <t>Celaya</t>
  </si>
  <si>
    <t>Comunidad La Trinidad</t>
  </si>
  <si>
    <t>Comunidad Plancarte</t>
  </si>
  <si>
    <t>Comunidad de Teneria del Santuario</t>
  </si>
  <si>
    <t>Comunidad de San Miguel Octopan</t>
  </si>
  <si>
    <t>Comunidad de Roque (Villas de Roque)</t>
  </si>
  <si>
    <t>Comunidad El Becerro</t>
  </si>
  <si>
    <t>1.10</t>
  </si>
  <si>
    <t>Comunidad la Palmita de San Gabriel</t>
  </si>
  <si>
    <t>Comunidad de San Isidro de Trojes</t>
  </si>
  <si>
    <t>Programa de Mejoramiento de Vivienda (Desarrollo Social)  (PIDH)</t>
  </si>
  <si>
    <t>1.16.1</t>
  </si>
  <si>
    <t>Cuarto de Baño</t>
  </si>
  <si>
    <t>1.16.2</t>
  </si>
  <si>
    <t>Cuarto Dormitorio</t>
  </si>
  <si>
    <t>1.17.1</t>
  </si>
  <si>
    <t>1.17.2</t>
  </si>
  <si>
    <t>1.17.3</t>
  </si>
  <si>
    <t>Cocina</t>
  </si>
  <si>
    <t>Caminos Rurales (SDAYR 50% $ 8' 352,725.48 y 50% $ 8' 352,725.48): $ 16' 705,450.96</t>
  </si>
  <si>
    <t>Comunidad de La Palmita</t>
  </si>
  <si>
    <t>Comunidad de San José de Mendoza</t>
  </si>
  <si>
    <t>Comunidad de El Puesto</t>
  </si>
  <si>
    <t xml:space="preserve">Rehabilitación Camino Rural a Base de Concreto Asfaltico de la Comunidad San Juan de la Vega a la Carretera San Miguel Octopan a San José de la Presa </t>
  </si>
  <si>
    <t xml:space="preserve">Rehabilitación de Camino Rural a Base de Carpeta de Concreto Asfaltico a la Comunidad de Tres Puentes. </t>
  </si>
  <si>
    <t>Comunidad de Tres Puentes</t>
  </si>
  <si>
    <t xml:space="preserve">Rehabilitación de Camino Rural a Base de Carpeta de Concreto Asfaltico a la Comunidad de El Becerro a la Carretera San José de Guanajuato </t>
  </si>
  <si>
    <t>Retiro, suministro y colocación de malla ciclonica y guarnición en la Colonia Galaxias del Parque (Lindero de Derecho de Via con la Autopista)</t>
  </si>
  <si>
    <t>Bacheo y Riego de sello Av. Tecnológico Cuerpo Oriente</t>
  </si>
  <si>
    <t>Bacheo y Riego de sello Av. Irrigación y Eje Nor Oriente Tramo Av. La Cano entronque con Irrigación</t>
  </si>
  <si>
    <t>Bacheo y Riego de sello Av. 2 de Abril, Fundación y Anenecuilco</t>
  </si>
  <si>
    <t>Supervision del Museo Octavio Ocampo</t>
  </si>
  <si>
    <t>Las aportaciones de Recursos Estatales y/o Federales estarán sujetos a los convenios que se lleven a cabo con cada una de las Dependencias Correspondientes, por tanto:</t>
  </si>
  <si>
    <t>El presupuesto autorizado de las aportaciones de Recursos Estatales y/o Federales pueden variar de acuerdo a lo que se vaya conviniendo y depositando al Municipio en el transcurso del presente ejercicio.</t>
  </si>
  <si>
    <r>
      <t xml:space="preserve">Pavimentación de la Calle </t>
    </r>
    <r>
      <rPr>
        <b/>
        <sz val="14"/>
        <rFont val="Calibri"/>
        <family val="2"/>
        <scheme val="minor"/>
      </rPr>
      <t>Fundación</t>
    </r>
    <r>
      <rPr>
        <sz val="14"/>
        <rFont val="Calibri"/>
        <family val="2"/>
        <scheme val="minor"/>
      </rPr>
      <t xml:space="preserve"> en el Barrio del Zapote </t>
    </r>
  </si>
  <si>
    <r>
      <t xml:space="preserve">Pavimentacion de las calles </t>
    </r>
    <r>
      <rPr>
        <b/>
        <sz val="14"/>
        <rFont val="Calibri"/>
        <family val="2"/>
        <scheme val="minor"/>
      </rPr>
      <t>Rincón del Paseo Oriente y Retorno del Paseo Poniente</t>
    </r>
    <r>
      <rPr>
        <sz val="14"/>
        <rFont val="Calibri"/>
        <family val="2"/>
        <scheme val="minor"/>
      </rPr>
      <t xml:space="preserve"> en la Col. Rinconada San Miguel</t>
    </r>
  </si>
  <si>
    <r>
      <t xml:space="preserve">AREA RURAL </t>
    </r>
    <r>
      <rPr>
        <b/>
        <sz val="12"/>
        <rFont val="Calibri"/>
        <family val="2"/>
        <scheme val="minor"/>
      </rPr>
      <t>50% ZAP Y 50% CON CUIS</t>
    </r>
  </si>
  <si>
    <r>
      <t>Rehabilitación de Camino Rural a Base de Carpeta de Concreto Asfaltico a la Comunidad San José de Mendoza.</t>
    </r>
    <r>
      <rPr>
        <sz val="14"/>
        <color rgb="FF00B050"/>
        <rFont val="Calibri"/>
        <family val="2"/>
        <scheme val="minor"/>
      </rPr>
      <t xml:space="preserve"> </t>
    </r>
  </si>
  <si>
    <r>
      <t>Rehabilitación de Camino Rural a Base de Carpeta de Concreto Asfaltico a la Comunidad de El Puesto.</t>
    </r>
    <r>
      <rPr>
        <sz val="14"/>
        <color rgb="FF00B050"/>
        <rFont val="Calibri"/>
        <family val="2"/>
        <scheme val="minor"/>
      </rPr>
      <t xml:space="preserve"> </t>
    </r>
  </si>
  <si>
    <t>REMANENETES DEUDA IMPULSO</t>
  </si>
  <si>
    <t>DOP/024/17</t>
  </si>
  <si>
    <t>DOP/022/17</t>
  </si>
  <si>
    <t>DOP/026/17</t>
  </si>
  <si>
    <t xml:space="preserve">         </t>
  </si>
  <si>
    <t>DOP/032/17</t>
  </si>
  <si>
    <t>DOP/020/17</t>
  </si>
  <si>
    <t>DOP/031/17</t>
  </si>
  <si>
    <t>DOP/030/17</t>
  </si>
  <si>
    <t>DOP/027/17</t>
  </si>
  <si>
    <t>DOP/029/17</t>
  </si>
  <si>
    <t>DOP/021/17</t>
  </si>
  <si>
    <t>DOP/028/17</t>
  </si>
  <si>
    <t>Aplanado exterior de la Escuela Primaria Heroes de Celaya</t>
  </si>
  <si>
    <t xml:space="preserve">Construcción del nuevo edificio sede del SMDIF </t>
  </si>
  <si>
    <t>10</t>
  </si>
  <si>
    <t>Constituyentes y Paseo del Bajío</t>
  </si>
  <si>
    <t xml:space="preserve">Obras complementarias de la ampliación del paso vial inferior vehicular de la Autopista Qro- Celaya (45-D) a San Miguel Octopan </t>
  </si>
  <si>
    <t>Construccion de baños y comedor de las instalaciones del almacen municipal</t>
  </si>
  <si>
    <t>Cd. Industrial</t>
  </si>
  <si>
    <t>Mantenimiento de pintura del Templo de San Antonio, Municipio de Celaya</t>
  </si>
  <si>
    <t>Construccion de 32 Baños Dignos en 11 Comunidades del Polo II del Municipio de Celaya, Gto</t>
  </si>
  <si>
    <t>Construccion de 31 Baños Dignos del Polo III del Municipio de Celaya, Gto</t>
  </si>
  <si>
    <t>Construcción de 31 Baños en 10 Comunidades del Polo I del Municipio de Celaya, Gto.</t>
  </si>
  <si>
    <t>Construcción de 31 Baños Dignos en 9 Comunidades del Polo IV del Municipio de Celaya, Gto.</t>
  </si>
  <si>
    <t>Traslado, adecuación y cimentación de un tramo del puente peatonal retirado de Constituyentes para  cruce peatonal  de la Comunidad de Capulines</t>
  </si>
  <si>
    <t>Comunidad de Capulines</t>
  </si>
  <si>
    <t>REMANENTES FONDO DE APORTACIONES PARA LA INFRAESTRUCTURA SOCIAL MUNICIPAL (FAISM)</t>
  </si>
  <si>
    <t>1.20</t>
  </si>
  <si>
    <t>1.30</t>
  </si>
  <si>
    <t>1.40</t>
  </si>
  <si>
    <t>1.50</t>
  </si>
  <si>
    <r>
      <t xml:space="preserve">Construccion de la  Red De Drenaje De La Calle  Frontera Tramo: de la Calle independencia a la calle zaragoza  En La Comunidad de </t>
    </r>
    <r>
      <rPr>
        <sz val="12"/>
        <rFont val="Calibri"/>
        <family val="2"/>
      </rPr>
      <t>Tenería del Santuario (DGDS/AJ/TR/12/2016)</t>
    </r>
  </si>
  <si>
    <r>
      <t xml:space="preserve">Rehabilitación De la  Red De Drenaje Sanitario de la calle  Guanajuato tramo: de calle Morelos a calle Hidalgo y  de la calle Hidalgo  tramo: de la calle Guanajuato a camino a  San Miguel Octopan, En La Comunidad De </t>
    </r>
    <r>
      <rPr>
        <sz val="12"/>
        <rFont val="Calibri"/>
        <family val="2"/>
      </rPr>
      <t>La Trinidad (DGDS/AJ/TR/13/2016)</t>
    </r>
  </si>
  <si>
    <t>1.60</t>
  </si>
  <si>
    <r>
      <t xml:space="preserve">Ampliación de la Red de  Drenaje </t>
    </r>
    <r>
      <rPr>
        <sz val="12"/>
        <rFont val="Calibri"/>
        <family val="2"/>
      </rPr>
      <t>Sanitario en la Privada Francisco Márquez, Tramo de la Calle Chapultepec a Campo Deportivo Tenería del Santuario (PISBCC) AE-07-PISBCC-2016-Q0251-086</t>
    </r>
  </si>
  <si>
    <r>
      <t xml:space="preserve">Ampliación De Red De Agua Potable Privada Francisco Márquez  del Tramo de la calle Chapultepec a Campo Deportivo </t>
    </r>
    <r>
      <rPr>
        <sz val="12"/>
        <rFont val="Calibri"/>
        <family val="2"/>
      </rPr>
      <t>Tenería del Santuario (PISBCC) AE-07-PISBCC-2016-Q0251-086</t>
    </r>
  </si>
  <si>
    <r>
      <t xml:space="preserve">Rehabilitación De Red De Drenaje Y Agua Potable De La Calle Zaragoza, Tramo: De Lázaro Cárdenas A Parcelas, Comunidad De </t>
    </r>
    <r>
      <rPr>
        <sz val="12"/>
        <rFont val="Calibri"/>
        <family val="2"/>
      </rPr>
      <t xml:space="preserve">Tenería del Santuario </t>
    </r>
  </si>
  <si>
    <r>
      <t xml:space="preserve">Ampliación De Red De Distribución De Energía Eléctrica, Privada Guadalupe Comunidad de </t>
    </r>
    <r>
      <rPr>
        <sz val="12"/>
        <rFont val="Calibri"/>
        <family val="2"/>
      </rPr>
      <t>San Miguel Octopan</t>
    </r>
  </si>
  <si>
    <r>
      <t xml:space="preserve">Ampliación De Red De Distribución De Energía Eléctrica, Avenida Las Torres Tramo: Calle Colon a Calle Quintana Roo, </t>
    </r>
    <r>
      <rPr>
        <sz val="12"/>
        <rFont val="Calibri"/>
        <family val="2"/>
      </rPr>
      <t>San Miguel Octopan (PISBCC)</t>
    </r>
  </si>
  <si>
    <r>
      <t xml:space="preserve">Ampliación De Red De Distribución De Energía Eléctrica, Calle Privada Bosques, Tramo: Calle Milagros A Fondo De La Calle, </t>
    </r>
    <r>
      <rPr>
        <sz val="12"/>
        <color indexed="8"/>
        <rFont val="Calibri"/>
        <family val="2"/>
      </rPr>
      <t>San Miguel Octopan</t>
    </r>
  </si>
  <si>
    <r>
      <t>Rehabilitación de la Red de Drenaje Calle Primera Cerrada Flores Magón, Tramo: Flores Magón A Fondo de la Calle. Comunidad De</t>
    </r>
    <r>
      <rPr>
        <sz val="12"/>
        <color indexed="8"/>
        <rFont val="Arial"/>
        <family val="2"/>
      </rPr>
      <t xml:space="preserve"> La Aurora (PIDMC)</t>
    </r>
  </si>
  <si>
    <r>
      <t xml:space="preserve">Rehabilitación de Red de Drenaje Calle Priv. 1era. de Mayo, Tramo: Lázaro Cárdenas a Fondo de la Calle, Comunidad De </t>
    </r>
    <r>
      <rPr>
        <sz val="12"/>
        <color indexed="8"/>
        <rFont val="Arial"/>
        <family val="2"/>
      </rPr>
      <t xml:space="preserve">La Aurora (PIDMC) AE-07-PIDMC-2016-Q0252-0122 </t>
    </r>
  </si>
  <si>
    <r>
      <t xml:space="preserve">Ampliación De Red De DrenajeSanitario de Calle Prolongación Álvaro Obregón Tramo: De Red Existente A Camino Real, Comunidad De </t>
    </r>
    <r>
      <rPr>
        <sz val="12"/>
        <color indexed="8"/>
        <rFont val="Calibri"/>
        <family val="2"/>
      </rPr>
      <t xml:space="preserve">San Juan de la Vega </t>
    </r>
  </si>
  <si>
    <r>
      <t xml:space="preserve">Ampliación De Red De Distribución De Energía Eléctrica Calle Rubí (Agua Marina), Tramo: De Ignacio Allende A Fondo De La Calle, </t>
    </r>
    <r>
      <rPr>
        <sz val="12"/>
        <color indexed="8"/>
        <rFont val="Calibri"/>
        <family val="2"/>
      </rPr>
      <t>Ojo Seco</t>
    </r>
  </si>
  <si>
    <t>1.70</t>
  </si>
  <si>
    <r>
      <t xml:space="preserve">Ampliación De Red De Distribución De Energía Eléctrica Calle Francisco Villa, Comunidad De </t>
    </r>
    <r>
      <rPr>
        <sz val="12"/>
        <color indexed="8"/>
        <rFont val="Calibri"/>
        <family val="2"/>
      </rPr>
      <t>Ojo Seco</t>
    </r>
  </si>
  <si>
    <r>
      <t xml:space="preserve">Ampliación De Red De Distribución De Energía Eléctrica Camino a la Palmita de San Gabriel, Comunidad De </t>
    </r>
    <r>
      <rPr>
        <sz val="12"/>
        <color indexed="8"/>
        <rFont val="Calibri"/>
        <family val="2"/>
      </rPr>
      <t xml:space="preserve">San Isidro  Crespo </t>
    </r>
  </si>
  <si>
    <r>
      <t xml:space="preserve">Ampliación De Red De Distribución De Energía Eléctrica Calle Amado Nervo Tramo: Benito Juárez a Allende Comunidad </t>
    </r>
    <r>
      <rPr>
        <sz val="12"/>
        <rFont val="Calibri"/>
        <family val="2"/>
      </rPr>
      <t xml:space="preserve">San Miguel Octopan </t>
    </r>
  </si>
  <si>
    <r>
      <t>Ampliación De Red De Distribución Eléctrica  En San Antonio Espinoza Calle Privada Allende de la Comunidad</t>
    </r>
    <r>
      <rPr>
        <sz val="12"/>
        <rFont val="Calibri"/>
        <family val="2"/>
      </rPr>
      <t xml:space="preserve"> San Antonio Espinoza</t>
    </r>
  </si>
  <si>
    <r>
      <t xml:space="preserve">Ampliación De Red De Distribución Eléctrica En San Antonio Espinoza Calle José María Morelos Y Pavón de la Comunidad </t>
    </r>
    <r>
      <rPr>
        <sz val="12"/>
        <rFont val="Calibri"/>
        <family val="2"/>
      </rPr>
      <t>San Antonio Espinoza</t>
    </r>
  </si>
  <si>
    <t>1.80</t>
  </si>
  <si>
    <r>
      <t xml:space="preserve">Ampliación De Red De Distribución Eléctrica  en Calle Hidalgo de la Comunidad </t>
    </r>
    <r>
      <rPr>
        <sz val="12"/>
        <rFont val="Calibri"/>
        <family val="2"/>
      </rPr>
      <t>Santa María Del Refugio</t>
    </r>
  </si>
  <si>
    <r>
      <t xml:space="preserve">Ampliación De Red De Distribución Eléctrica Primera Cerrada de Francisco Villa  de la Comunidad </t>
    </r>
    <r>
      <rPr>
        <sz val="12"/>
        <rFont val="Calibri"/>
        <family val="2"/>
      </rPr>
      <t>Santa Anita</t>
    </r>
  </si>
  <si>
    <t>Acciones rurales y urbanas</t>
  </si>
  <si>
    <r>
      <t xml:space="preserve">CONVENIO -GTO-PISBCC-07/2015: Anexo  AE-07-PIBSBCC-2015-Q0251-0064 Construccion de la red de drenaje de la calle Benito Juarez en la comunidad de los mancera </t>
    </r>
    <r>
      <rPr>
        <sz val="12"/>
        <rFont val="Calibri"/>
        <family val="2"/>
      </rPr>
      <t>**</t>
    </r>
  </si>
  <si>
    <t xml:space="preserve">Pavimentación de las calles Lago Hurón, Lago Patos y Lago Victoria, Tramo: de  calle Lago Yuriria a Fondo de la calle Lago Victoria, Col. Lagos </t>
  </si>
  <si>
    <t>TOTAL REMANENTES FAISM</t>
  </si>
  <si>
    <t xml:space="preserve">Construccion de macrocelda </t>
  </si>
  <si>
    <t>DOP/017/17</t>
  </si>
  <si>
    <t xml:space="preserve">Construcción del nuevo edificio sede del SMDIF Celaya </t>
  </si>
  <si>
    <t>Iluminacion, mantenimiento y arreglo de espacio publico de los murales en el Puente Irrigacion- Tecnologico</t>
  </si>
  <si>
    <t>Unidad Deportiva San Juan de la Vega (Complemento)</t>
  </si>
  <si>
    <t>Construccion de 1 aula 12*8 para taller de diseño, desarrollo, elaboracion de proyectos de costura (1 aula de usos múltiples 4.0 e.e. (6*12) y Construcción de 2 aulas 6*8  en el Bachillerato SABES de Santa Teresa (Primera Etapa) (Convenio SABES)</t>
  </si>
  <si>
    <t>DOP/128/16</t>
  </si>
  <si>
    <t>Construccion de cuartos dormitorios en Rincon de Tamayo, San Isidro Crespo y Santa Maria del Refugio  (Complemento)</t>
  </si>
  <si>
    <t>DOP/018/16</t>
  </si>
  <si>
    <t>PROGRAMA PIDH (Vertiente Cuarto) (CUARTOS ROSAS) (Construccion de cuarto dormitorio)</t>
  </si>
  <si>
    <t>TOTAL REMANENTES FORTAMUN</t>
  </si>
  <si>
    <t>Construccion de una comandancia compacta en la Colonia Los Olivos 2da Sección (*1,5)</t>
  </si>
  <si>
    <t>S-DOP/004/17</t>
  </si>
  <si>
    <t>Estudio Eje Manuel J. Clouthier</t>
  </si>
  <si>
    <r>
      <t>Rehabilitación de camellon, cruce</t>
    </r>
    <r>
      <rPr>
        <sz val="12"/>
        <color indexed="10"/>
        <rFont val="Arial"/>
        <family val="2"/>
      </rPr>
      <t xml:space="preserve"> </t>
    </r>
    <r>
      <rPr>
        <sz val="12"/>
        <rFont val="Arial"/>
        <family val="2"/>
      </rPr>
      <t>peatonal en la Av. Heroico Colegio Militar,  Col. Jardines de Celaya</t>
    </r>
  </si>
  <si>
    <t>JUMAPA-CELAYA-OP-2016-67</t>
  </si>
  <si>
    <t>TOTAL REMANENTES MUNICIPAL</t>
  </si>
  <si>
    <t>Supervision Externa de la obra: Construccion del nuevo edificio sede del SMDIF</t>
  </si>
  <si>
    <t>DOP/044/17</t>
  </si>
  <si>
    <t>ACTUALIZADO</t>
  </si>
  <si>
    <t>DOP/064/17</t>
  </si>
  <si>
    <t>DOP/067/17</t>
  </si>
  <si>
    <t>DOP/066/17</t>
  </si>
  <si>
    <t>DOP/065/17</t>
  </si>
  <si>
    <t xml:space="preserve">  </t>
  </si>
  <si>
    <t>TOTAL FAISM, FORTAMUN Y MUNICIPAL REMANENTES</t>
  </si>
  <si>
    <t>anticipo</t>
  </si>
  <si>
    <t>Convenio modificatorio reestructura financiera</t>
  </si>
  <si>
    <t>Convenio de ampliacion</t>
  </si>
  <si>
    <t>Convenio de ampliacion $ 38,708.20</t>
  </si>
  <si>
    <t>Primera asignacion</t>
  </si>
  <si>
    <t>FALTA</t>
  </si>
  <si>
    <t>DOP/033/17</t>
  </si>
  <si>
    <t>Convenio de Reducción por $ 45,577.64</t>
  </si>
  <si>
    <t>Aportación Municipal al CONV/SOP/ASF/CEL/2017-2 para el costo de procesamiento  de producto asfáltico  para su aplicación en vialidades, caminos o calles del Municipio de Celaya, Gto.</t>
  </si>
  <si>
    <t>Construccion de 12 cuartos adicionales en localidades del Polo III del Municipio de Celaya, Gto.</t>
  </si>
  <si>
    <t>DOP/070/17</t>
  </si>
  <si>
    <t>DOP/069/17</t>
  </si>
  <si>
    <t>Pavimentacion de la calle Rio Tehuantepec  Col. Progreso Solidaridad (Complemento)</t>
  </si>
  <si>
    <t>OBRA DE ITS</t>
  </si>
  <si>
    <t>DOP/078/17</t>
  </si>
  <si>
    <t>DOP/068/17</t>
  </si>
  <si>
    <t>Supervision externa de la obra: Instalación eléctrica y jardinería en la calle El Carmen, Tramo: Calle Álvaro Obregón a calle Bénito Juárez</t>
  </si>
  <si>
    <t>DOP/018/17</t>
  </si>
  <si>
    <t>DOP/049/17</t>
  </si>
  <si>
    <t>DOP/051/17</t>
  </si>
  <si>
    <t>DOP/086/17</t>
  </si>
  <si>
    <t>DOP/045/17</t>
  </si>
  <si>
    <t>DOP/046/17</t>
  </si>
  <si>
    <t>DOP/050/17</t>
  </si>
  <si>
    <t>DOP/047/17</t>
  </si>
  <si>
    <t>Convenio de ampliación por $ 34,459.81</t>
  </si>
  <si>
    <t>Convenio de ampliacion por $ 44,882.47</t>
  </si>
  <si>
    <t>Convenio de ampliación por $ 44,882.47</t>
  </si>
  <si>
    <t>Supervisión externa de la ejecución de la obra de pavimentación de la Calle Adolfo López Mateos  Localidad de Santa Teresa</t>
  </si>
  <si>
    <t>S-DOP-005/17</t>
  </si>
  <si>
    <t>S-DOP-006/17</t>
  </si>
  <si>
    <t>DOP/087/17</t>
  </si>
  <si>
    <t>DOP/085/17</t>
  </si>
  <si>
    <t>DOP/083/17</t>
  </si>
  <si>
    <t>DOP/084/17</t>
  </si>
  <si>
    <t>DOP/079/17</t>
  </si>
  <si>
    <t>Construccion de techado en cancha uno de usos multiples en la Deportiva Miguel Alemán Váldez</t>
  </si>
  <si>
    <t>Construccion de techado en cancha dos de usos multiples en la Deportiva Miguel Alemán Váldez</t>
  </si>
  <si>
    <t>1.2.1</t>
  </si>
  <si>
    <t>1.2.2</t>
  </si>
  <si>
    <t>Construccion de 17 cuartos adicionales en localidades de los Polos I, II y IVI del Municipio de Celaya, Gto.</t>
  </si>
  <si>
    <t>PRIMERA ASIGNACION</t>
  </si>
  <si>
    <t>DOP/075/17</t>
  </si>
  <si>
    <t>DOP/106/17</t>
  </si>
  <si>
    <t>DOP/105/17</t>
  </si>
  <si>
    <t>DOP/107/17</t>
  </si>
  <si>
    <t>Ampliación y Construcción de Ciclovías: Ciclovía Tramo Av Francisco Juárez Entre Boulevard Lopéz Mateos, Acera Norte / Valle De Lerma, Tramo Dos: Antonio Rábago Entre Fco. Juárez/ Mutualismo</t>
  </si>
  <si>
    <t>CONVENIO DE AMPLIACION POR $ 5,778.03</t>
  </si>
  <si>
    <t>DOP/109/17</t>
  </si>
  <si>
    <t>Pavimentacion de la calle Mexicali, en la col. Santa Rita Norte</t>
  </si>
  <si>
    <t>S-DOP-007/17</t>
  </si>
  <si>
    <t>DOP/101/17</t>
  </si>
  <si>
    <t>DOP/108/17</t>
  </si>
  <si>
    <t>DOP/074/17</t>
  </si>
  <si>
    <t>Colonia Patria Nueva</t>
  </si>
  <si>
    <t xml:space="preserve">Construccion de la Ciclovía en la Avenida Tecnológico (Convenio FIMETRO)                                            </t>
  </si>
  <si>
    <t>Avenida Tecnológico</t>
  </si>
  <si>
    <t>DOP/039/17</t>
  </si>
  <si>
    <t>Aula de capacitación para el  Magisterio</t>
  </si>
  <si>
    <t>Ampliacion de la red de drenaje sanitario de las Calles 23 de Abril,  18 de Marzo, 2 de Octubre, Av. Los Olivos y Manuel Doblado, de la Colonia Paraíso (PISBCC)</t>
  </si>
  <si>
    <t>Ampliación del Drenaje Sanitario (PISBCC)</t>
  </si>
  <si>
    <t>Alumbrado Público en la calle Mexicali de la Colonia Santa Rita</t>
  </si>
  <si>
    <t>Colonia Santa Rita</t>
  </si>
  <si>
    <t>Red de Agua Potable Comunidad La Trinidad</t>
  </si>
  <si>
    <t>JUMAPA ANEXO 031</t>
  </si>
  <si>
    <t>Colector Roque 2a Etapa, Comunidad de Roque</t>
  </si>
  <si>
    <t>Rehabilitación de la Red de Drenaje Sanitario en la Comunidad de Roque Etapa 2.</t>
  </si>
  <si>
    <t>Ampliación de la red de agua Potable en la Colonia Villas de Roque 1ER ETAPA, Comunidad de Roque (PDIMC)</t>
  </si>
  <si>
    <t xml:space="preserve">Ampliacion de la Red de Drenaje Sanitario en la  Av.  Camino a San Jose de Gto Lado Norte, Comunidad El Becerro </t>
  </si>
  <si>
    <t>Ampliación Red de Agua Potable en Colonias: La Cruz, La Purísima, San Miguelito, San Dieguito y Guadalupe (Etapa 2) en Comunidad de San Miguel Octopan</t>
  </si>
  <si>
    <t>Rehubicación  de línea  de distribución Subterranea y Aerea 151,0 Ml Camino a San MiguelOctopan</t>
  </si>
  <si>
    <t>ELECTRIFICACIONES</t>
  </si>
  <si>
    <t>Ampliacion de Red de Distribucion de Energia Electrica en Colonia Los Pirules</t>
  </si>
  <si>
    <t>San Martin de Camargo</t>
  </si>
  <si>
    <t>Ampliacion de Red de Distribucion de Energia Electrica en Calles Pinos, Luis Donaldo Colosio y Benito Juarez</t>
  </si>
  <si>
    <t>Puerta del Monte (Elguera)</t>
  </si>
  <si>
    <t>Ampliacion de Red de Distribucion de Energia Electrica en Calle Primavera y Mezquite Gordo Colonia Los Pirules de Trojes</t>
  </si>
  <si>
    <t>Ampliacion de Red de Distribucion de Energia Electrica en Calle La Piedad</t>
  </si>
  <si>
    <t>San Lorenzo</t>
  </si>
  <si>
    <t>Ampliacion de Red de Distribucion de Energia Electrica en Calle Chica</t>
  </si>
  <si>
    <t>San Jose El Nuevo</t>
  </si>
  <si>
    <t>Ampliacion de Red de Distribucion de Energia Electrica en Calles Privadas del Bosque</t>
  </si>
  <si>
    <t>Jofre</t>
  </si>
  <si>
    <t>Ampliacion de Red de Distribucion de Energia Electrica en Calle Perla</t>
  </si>
  <si>
    <t>Ojo Seco</t>
  </si>
  <si>
    <t>Ampliacion de Red de Distribucion de Energia Electrica en Calle Resurrección</t>
  </si>
  <si>
    <t>Rincon de Tamayo</t>
  </si>
  <si>
    <t>Ampliacion de Red de Distribucion de Energia Electrica en Calle Privada Sin Nombre</t>
  </si>
  <si>
    <t>La Luz</t>
  </si>
  <si>
    <t>Ampliación de Electrificación en Carretera San Miguel Octopan a Jauregui, de la Infraestructura Existente a la Escuela Cecyte de San Miguel Octopan</t>
  </si>
  <si>
    <t>Ampliación de Red de Distribución de Energía Eléctrica en Calle Industria Eléctrica</t>
  </si>
  <si>
    <t>Ampliación de Red de Distribución de Energía Eléctrica en Calle Francisco I. Madero</t>
  </si>
  <si>
    <t>Ampliacion de las Redes de Agua Potable varias calles</t>
  </si>
  <si>
    <t>Rehabilitación del Colector Juan M. Banderas, Tramo: Prolongaciòn Irrigación a Tierra y Libertad</t>
  </si>
  <si>
    <t>Ampliacion de la Red de Red Agua Potable en la Calle Tejo Tramo: de calle Pingûica  a la calle Bambú (PISBCC)</t>
  </si>
  <si>
    <t>Ampliacion de la Red de Drenaje sanitario en la Calle Tejo Tramo de la calle Pinguica a la calle Bambú (PISBCC)</t>
  </si>
  <si>
    <t>Ampliacion de la Red de  Drenaje en la Privada Tajín, Tramo calle Tajín al Fondo (PISBCC)</t>
  </si>
  <si>
    <t>Ampliacion de las redes de agua potable y drenaje sanitario en la calle Prolongacion Monte Tauro Tramo Paseo de San Nicolas  de Parra a calle Reforma Agraria</t>
  </si>
  <si>
    <t>Ampliacion de la red de agua potable de la calle Paseo de los Alamos  Tramo: De Acceso a Jardínes del Malecón a Prolongación Pinguica   (PISBCC)</t>
  </si>
  <si>
    <t>Ampliacion de la red de drenaje sanitario en la calle Privada Lago Huron Tramo de la calle Lago Hurón a Fondo de la calle  (PISBCC)</t>
  </si>
  <si>
    <t>Rehabilitacion de la Red de Drenaje Sanitario de la Privada Honduras  Tramo: De la calle Centroamérica a Fondo de Privada , Comunidad Plancarte (PISBCC)</t>
  </si>
  <si>
    <r>
      <t xml:space="preserve">Ampliación de la Red de Agua Potable en varias calles (Doctores, Ingenieros, Fresno, Arquitectos, Quimicos, La Palma, Observatorio, Topografos, La Esperanza, Tulipán, Zamora, Guadalupe, Miguel Hidalgo y Calle Sin Nombre)  </t>
    </r>
    <r>
      <rPr>
        <strike/>
        <sz val="12"/>
        <rFont val="Arial"/>
        <family val="2"/>
      </rPr>
      <t xml:space="preserve"> </t>
    </r>
    <r>
      <rPr>
        <sz val="12"/>
        <rFont val="Arial"/>
        <family val="2"/>
      </rPr>
      <t>en la Comunidad Santos Degollado (El Becerro) Zona Norte (PISBCC)</t>
    </r>
  </si>
  <si>
    <r>
      <t xml:space="preserve">Ampliación de la Red de Drenaje Sanitario en varias calles (Doctores, Ingenieros, Fresno, Arquitectos, Quimicos, La Palma, Observatorio, Topografos, La Esperanza, Tulipan, Zamora, Guadalupe, Miguel Hidalgo y Calle Sin Nombre) </t>
    </r>
    <r>
      <rPr>
        <strike/>
        <sz val="12"/>
        <rFont val="Arial"/>
        <family val="2"/>
      </rPr>
      <t xml:space="preserve"> </t>
    </r>
    <r>
      <rPr>
        <sz val="12"/>
        <rFont val="Arial"/>
        <family val="2"/>
      </rPr>
      <t xml:space="preserve"> en la Comunidad Santos Degollado (El Becerro) Zona Norte (PIDMC)</t>
    </r>
  </si>
  <si>
    <t>Ampliacion de la Red de Drenaje Sanitario varias calles (20 de Noviembre, Margarita, Lirio,Violeta, Rosal, Jazmín, Carrizales, Francisco Juárez y Sin Nombre)   en la Comunidad Santos Degollado (El Becerro) (PIDMC)</t>
  </si>
  <si>
    <t>Ampliación de la Red de Drenaje Sanitario en  la calle Ahuehuete Tramo: de Calle Jacacrandas a Privada Alamo en la Comunidad La Palmita de San Gabriel</t>
  </si>
  <si>
    <t>DOP/100/17</t>
  </si>
  <si>
    <t>Acciones Rurales</t>
  </si>
  <si>
    <t>Supervisión externa de la obra: Comandancia compacta Las Torres</t>
  </si>
  <si>
    <t>DOP/129/17</t>
  </si>
  <si>
    <t>DOP/130/17</t>
  </si>
  <si>
    <t>anaticipo</t>
  </si>
  <si>
    <t>DOP/104/17</t>
  </si>
  <si>
    <t xml:space="preserve">anticipo </t>
  </si>
  <si>
    <t>DOP/102/17</t>
  </si>
  <si>
    <t>DOP/141/17</t>
  </si>
  <si>
    <t>DOP/145/17</t>
  </si>
  <si>
    <t>DOP/142/17</t>
  </si>
  <si>
    <t>DOP/143/17</t>
  </si>
  <si>
    <t>DOP/147/17</t>
  </si>
  <si>
    <t>DOP/052/17</t>
  </si>
  <si>
    <t>DOP/048/17</t>
  </si>
  <si>
    <t>Convenio de ampliacion/ reduccion</t>
  </si>
  <si>
    <t xml:space="preserve">CAMBIO DE ACTA </t>
  </si>
  <si>
    <t>DOP/123/17</t>
  </si>
  <si>
    <t>Refugio Animal: Construcción de Centro de Asistencia Animal</t>
  </si>
  <si>
    <t>ESTATAL $ 1' 273,539.34 Y FAISM $ 1'401,858.55</t>
  </si>
  <si>
    <t>Supervision externa de la obra: Pavimentacuion de la Calle Aldama Localidad Santa Teresa</t>
  </si>
  <si>
    <t>DOP/122/17</t>
  </si>
  <si>
    <t>DOP/125/17</t>
  </si>
  <si>
    <r>
      <t xml:space="preserve">Programa de Mejoramiento de Vivienda (IMUVI) </t>
    </r>
    <r>
      <rPr>
        <sz val="14"/>
        <color rgb="FFFF0000"/>
        <rFont val="Calibri"/>
        <family val="2"/>
        <scheme val="minor"/>
      </rPr>
      <t xml:space="preserve">CONVENIO EN ZONA URBANA $ 3'761,737.09 </t>
    </r>
    <r>
      <rPr>
        <sz val="14"/>
        <rFont val="Calibri"/>
        <family val="2"/>
        <scheme val="minor"/>
      </rPr>
      <t>RESTAN 3'651,500.20</t>
    </r>
  </si>
  <si>
    <t>Rehabilitación y Mantenimiento de Hospital General de la Comunidad de Juan Martín, en el municipio de Celaya, Gto.</t>
  </si>
  <si>
    <t>Rehabilitación del Instituto de Salud Pública del Estado de Guanajuato, ubicado en Tenería del Santuario, Celaya, Gto.</t>
  </si>
  <si>
    <t>Comunidad de Tenería del Santuario</t>
  </si>
  <si>
    <t>Mantenimiento en UMAPS, ubicada en San Isidro de Crespo, en el Municipio de Celaya.</t>
  </si>
  <si>
    <t>Comunidad de San Isidro Crespo</t>
  </si>
  <si>
    <t>Rehabilitación del Instituto de Salud Pública del Estado de Guanajuato UMAPS Santa María del Refugio, Celaya, Gto.</t>
  </si>
  <si>
    <t>Construcción de la Comandancia de Policías en la localidad de San Juan de la Vega, en el Municipio de Celaya, Gto.</t>
  </si>
  <si>
    <r>
      <t>Construccion de una comandancia compacta en la zona urbana (Av. Las Torres)</t>
    </r>
    <r>
      <rPr>
        <sz val="14"/>
        <rFont val="Arial"/>
        <family val="2"/>
      </rPr>
      <t xml:space="preserve"> (Complemento)</t>
    </r>
  </si>
  <si>
    <t>Pavimentacion de las calles Rincón del Paseo Oriente y Retorno del Paseo Poniente en la Col. Rinconada San Miguel (Complemento)</t>
  </si>
  <si>
    <t>Pavimentación de la Calle Felipe Ángeles, Comunidad Primera Fracción de Crespo  (El Molino)  (Complemento)</t>
  </si>
  <si>
    <t>Pavimentacion de la calle Segunda Privada de Las Américas en la Col. Las Américas (Complemento)</t>
  </si>
  <si>
    <t>Col. Rinconada San Miguel</t>
  </si>
  <si>
    <t>Primera Fracción de Crespo (El Molino)</t>
  </si>
  <si>
    <t>Col. Las Américas</t>
  </si>
  <si>
    <t xml:space="preserve">Unidad Deportiva San Juanico: Rehabilitacion de dos canchas de basquet bol en la Unidad Deportiva San Juanico </t>
  </si>
  <si>
    <t>Construcción de Cancha de Cachibol dentro del Nuevo Edificio sede del SMDIF Celaya</t>
  </si>
  <si>
    <t>SMDIF</t>
  </si>
  <si>
    <t xml:space="preserve">Colonia Del Bosque </t>
  </si>
  <si>
    <t xml:space="preserve">Rehabilitacion de la Red de Drenaje Sanitario en la calle Francisco I Madero,  Tramo: De la calle Ignacio Allende a la calle Zaragoza, en la Comunidad de Teneía del Santuario (PISBCC) </t>
  </si>
  <si>
    <t>RED DE AGUA POTABLE COMUNIDAD DE SAN ISIDRO DE TROJES 2DA. ETAPA</t>
  </si>
  <si>
    <t>1.15.1</t>
  </si>
  <si>
    <t>1.15.1.1</t>
  </si>
  <si>
    <t>1.15.1.2</t>
  </si>
  <si>
    <t>1.15.1.3</t>
  </si>
  <si>
    <t>1.15.1.4</t>
  </si>
  <si>
    <t>1.15.2</t>
  </si>
  <si>
    <t>1.15.2.1</t>
  </si>
  <si>
    <t>1.15.2.2</t>
  </si>
  <si>
    <t>1.16.3</t>
  </si>
  <si>
    <t>1.17.4</t>
  </si>
  <si>
    <t>1.17.5</t>
  </si>
  <si>
    <t>1.17.6</t>
  </si>
  <si>
    <t>1.21.1</t>
  </si>
  <si>
    <t>1.21.2</t>
  </si>
  <si>
    <t>1.21.3</t>
  </si>
  <si>
    <t>1.21.4</t>
  </si>
  <si>
    <t>1.21.5</t>
  </si>
  <si>
    <t>1.21.6</t>
  </si>
  <si>
    <t>1.21.7</t>
  </si>
  <si>
    <t>1.21.8</t>
  </si>
  <si>
    <t>1.21.9</t>
  </si>
  <si>
    <t>1.21.10</t>
  </si>
  <si>
    <t>1.21.11</t>
  </si>
  <si>
    <t>1.21.12</t>
  </si>
  <si>
    <t>1.21.13</t>
  </si>
  <si>
    <t>1.21.14</t>
  </si>
  <si>
    <t>1.21.15</t>
  </si>
  <si>
    <t>1.21.16</t>
  </si>
  <si>
    <t>1.21.17</t>
  </si>
  <si>
    <t>Ampliación de Red de Distribución de Energía Eléctrica en Calle Privada San José en El Becerro (PISBCC)</t>
  </si>
  <si>
    <t>Ampliación de Red de Distribución de Energía Eléctrica en la  Calle Rivera del Rio y Callejón Flores Magón en La Aurora (PISBCC)</t>
  </si>
  <si>
    <t>Ampliación de Red de Distribución de Energía Eléctrica en Calle Primera Privada José María Rodríguez en Rincón de Tamayo (PISBCC)</t>
  </si>
  <si>
    <t>Ampliación de Red de Distribución de Energía Eléctrica en la  Colonia El Roble (PISBCC)</t>
  </si>
  <si>
    <t>La Aurora</t>
  </si>
  <si>
    <t>ANEXO 005 (PDR)</t>
  </si>
  <si>
    <t>Supervision externa de la obra: Bacheo y riego de sello en Eje nor- oriente 2da Etapa ( Tramo Av. México Japón- Av. Irrigación)</t>
  </si>
  <si>
    <t>saldo disponible</t>
  </si>
  <si>
    <t xml:space="preserve">Supervision Externa de la Obra: Autoconstruccion de viviendas del programa Mi Casa Diferente, Mi Hogar con Valores 2017" en su primera etapa en 23 Comunidades del Municipio de Celaya, Gto.,…. </t>
  </si>
  <si>
    <t>Supervisión Externa de la Obra: Pavimentación de la Calle Miguel Hidalgo Localidad Jaureguí</t>
  </si>
  <si>
    <t>Bacheo y Riego de sello Av. 12 de Octubre 2da etapa: Bacheo Superficial y Riego de sello premezclado sincronizado de la Av. 12 de Octubre 2da Etapa (Tramo Camino a San Jose de Guanajuato - Av. Torres Landa), en el Municipio de Celaya, Gto.</t>
  </si>
  <si>
    <t>Rehabilitacion de andador y plafones en el CECYTE en San Juan de la vega: Adecuacion para construir rampa en patio principal, cambio de falsos plafones en areas vulnerables y adecuacion a instalacion electrica en taller, en el Plantel San Juan de la Vega  de el CECyTE Guanajuato</t>
  </si>
  <si>
    <t>DOP/171/17</t>
  </si>
  <si>
    <t>considerar</t>
  </si>
  <si>
    <t>cambiar</t>
  </si>
  <si>
    <t>a ffm 2016</t>
  </si>
  <si>
    <t>Supervision Externa Modulo Multidisciplinario</t>
  </si>
  <si>
    <t>Supervision Externa calles Mezquite, Guayabo y Aguacate</t>
  </si>
  <si>
    <t>JUMAPA -ANEXO 124</t>
  </si>
  <si>
    <t>Convenio de ampliacion por $ 116,017.51                    FFM 16  $ 106,867.43  y MPAL 16 $ 9,150.08</t>
  </si>
  <si>
    <t>Tendido de Carpeta Asfaltica en las Calles: 1. Blas Barbacel, 2. Jose Manuel Quintana, 3. Carlos Pacheco, 4. Plaza de Las Fuentes, 5. R. de la Hidra, 6. R. Higuera, 7. Huizache y 8. Sabino en la Col. Girasoles y en las Calles 1. Acacia, 2. Primavera y  3. Camichin en  la Col. Los Laureles del Municipio de Celaya, Gto.-</t>
  </si>
  <si>
    <t>DOP/126/17</t>
  </si>
  <si>
    <t>DOP/177/17</t>
  </si>
  <si>
    <t>Bacheo y sobrecarpeta en Av. El Sauz Tramo: Eje Nor- Poniente Manue J. Clouthier hacia el Poniente en Celaya, Gto.</t>
  </si>
  <si>
    <r>
      <t xml:space="preserve">Reparación de columnas del Portal Chaparro  (Portal Colunga): </t>
    </r>
    <r>
      <rPr>
        <i/>
        <sz val="14"/>
        <color theme="1"/>
        <rFont val="Calibri"/>
        <family val="2"/>
        <scheme val="minor"/>
      </rPr>
      <t>Rehabilitacion del Portal Colunga en Celaya, Gto.</t>
    </r>
  </si>
  <si>
    <t>Convenio de ampliacion por $ 1' 128,827.15</t>
  </si>
  <si>
    <t>Supervision externa de la obra: Pavimentacion de la calle Ignacio Maya en la Col. Emiliano Zapata</t>
  </si>
  <si>
    <t>1.15.1.5</t>
  </si>
  <si>
    <t>Construccion de 14 Baños Dignos en varias comunidades del Municipio de Celaya, Gto.</t>
  </si>
  <si>
    <t>DOP/063/17</t>
  </si>
  <si>
    <t>S-DOP-010/17</t>
  </si>
  <si>
    <t>S-DOP-011/17</t>
  </si>
  <si>
    <t>S-DOP-012/17</t>
  </si>
  <si>
    <t>Rehabilitación de la Red de Drenaje Sanitario de la Calle Benito Juárez Tramo: De Calle  Ignacio Ramirez a Calle 5 de Mayo, Comunidad Juan Martín (PDIMC)</t>
  </si>
  <si>
    <t>JUMAPA-CELAYA-OP-2017-39</t>
  </si>
  <si>
    <t>Construccion de barda perimetral en Escuela Telesecundaria de la Colonia Patria Nueva</t>
  </si>
  <si>
    <t>Plan de modernizacion en el rubro de infraestructura respecto del Mercado Insurgentes Cañitos, del Municipio de Celaya, Gto. en especifico la Rehabilitacion de Red de Agua Potable del Mercado</t>
  </si>
  <si>
    <t>Infraestructura del Tianguis de los Lunes: Colocacion del faldon de la estructura de la parte norte del tianguis y colocacion del faldon sur</t>
  </si>
  <si>
    <t>Construccion de la Casa para Ancianos y Enfermos (programa 2x1)</t>
  </si>
  <si>
    <t>2.1.1</t>
  </si>
  <si>
    <t>Templo de la Tercera Orden</t>
  </si>
  <si>
    <t>2.1.2</t>
  </si>
  <si>
    <t>Templo del Señor de la Clemencia (Barrio del Zapote)</t>
  </si>
  <si>
    <t>2.1.3</t>
  </si>
  <si>
    <t>Templo de San Bartolome Apostol en Rincon de Tamayo</t>
  </si>
  <si>
    <t>Rincón de Tamayo</t>
  </si>
  <si>
    <t>Proyectos de Desarrollo e Infraestructura Municipal, en el Municipio de Celaya Guanajuato (Construccion de la Plaza Publica de la comunidad de Ojo Seco)</t>
  </si>
  <si>
    <t>JUMAPA-CELAYA-OP-2017-34</t>
  </si>
  <si>
    <t>JUMAPA-CELAYA-OP-2017-35</t>
  </si>
  <si>
    <t>JUMAPA-CELAYA-OP-2017-44</t>
  </si>
  <si>
    <t>JUMAPA-CELAYA-OP-2017-36</t>
  </si>
  <si>
    <t>JUMAPA-CELAYA-OP-2017-29</t>
  </si>
  <si>
    <t>JUMAPA-CELAYA-OP-2017-31</t>
  </si>
  <si>
    <t>JUMAPA-CELAYA-OP-2017-37</t>
  </si>
  <si>
    <t>JUMAPA-CELAYA-OP-2017-38</t>
  </si>
  <si>
    <t>JUMAPA-CELAYA-OP-2017-43</t>
  </si>
  <si>
    <t>JUMAPA-CELAYA-OP-2017-32</t>
  </si>
  <si>
    <t>JUMAPA-CELAYA-OP-2017-33</t>
  </si>
  <si>
    <t>JUMAPA-CELAYA-OP-2017-48</t>
  </si>
  <si>
    <t>JUMAPA-CELAYA-OP-2017-47</t>
  </si>
  <si>
    <t>Pavimentación de la Calle ayuntamiento, en la Col. Enrique Colunga, en el Municipio de Celaya Gto.,</t>
  </si>
  <si>
    <t>JUMAPA-CELAYA-OP-2017-40</t>
  </si>
  <si>
    <t>JUMAPA-CELAYA-OP-2017-42</t>
  </si>
  <si>
    <t>JUMAPA-CELAYA-OP-2017-45</t>
  </si>
  <si>
    <t>JUMAPA-CELAYA-OP-2017-30</t>
  </si>
  <si>
    <t>Cuarto Baño</t>
  </si>
  <si>
    <t>Electrificacion y Subestacion electrica del pozo de la Comunidad del Puesto</t>
  </si>
  <si>
    <t>Programa Agua Limpia: Convenio CEAG-CELAYA-AGUA LIMPIA-2017-114 El Becerro, La Machuca, Rancho Seco 2 de Cabecera  Municipal, Juan Martín, Puerta del Monte (Elguera)</t>
  </si>
  <si>
    <t>Varias Comunidades</t>
  </si>
  <si>
    <t>Bacheo y Riego de sello Eje Nor Oriente 2da etapa Tramo: Av. México- Japón a la Av. Irrigación</t>
  </si>
  <si>
    <t>Trabajos de verificacion de calidad de obras a efectuarse en el año 2017 y 2018 en el Municipio de Celaya, Gto.</t>
  </si>
  <si>
    <t>DOP/184/17</t>
  </si>
  <si>
    <t>DOP/183/17</t>
  </si>
  <si>
    <t xml:space="preserve">Supervision Externa De La Obra: 1. Pavimentacion De La Calle Deportiva Localidad Presa Blanca; 2. Pavimentacion De La Calle Benito Juarez En La Localidad San Nicolas Esquiros </t>
  </si>
  <si>
    <t>1.11</t>
  </si>
  <si>
    <t>1.12</t>
  </si>
  <si>
    <t>1.13</t>
  </si>
  <si>
    <t>Alumbrado del distribuidor vial Constituyentes y Paseo del Bajío: Alumbrado Publico en el Distribuidor Vial en el cruce de la Av. Constituyentes y la Av. Paseo del Bajío</t>
  </si>
  <si>
    <t>Parque Público en la Colonia Los Olivos 2da. Sección: Parque de convivencia Social Olivos 2da Seccion</t>
  </si>
  <si>
    <t>DOP/188/17</t>
  </si>
  <si>
    <t>Supervision Externa de la Obra: 1. Pavimentacion de la Calle Mariano Jimenez, Localidad de Santa Maria</t>
  </si>
  <si>
    <t>Supervision Externa de la Obra: Plan de Modernizacion en el Rubro de Infraestructura Respecto del Mercado Insurgentes Cañitos, del Municipio de Celaya, Gto. En Especifico la Rehabilitacion de Red de Agua Potable del Mercado</t>
  </si>
  <si>
    <t>Supervision Externa de la Obra: Pavimentacion de la Calle Irapuato en la Col. Santa Maria</t>
  </si>
  <si>
    <t>DOP/182/17</t>
  </si>
  <si>
    <t>CFE: CONVENIO ER-GTO-08/17</t>
  </si>
  <si>
    <t>DOP/185/17</t>
  </si>
  <si>
    <t>DOP/173/17</t>
  </si>
  <si>
    <t>Villa de los Arcos</t>
  </si>
  <si>
    <t>DOP/186/17</t>
  </si>
  <si>
    <t>DOP/168/17</t>
  </si>
  <si>
    <t xml:space="preserve">Bacheo y Riego de sello Av. Lázaro Cárdenas 2da etapa </t>
  </si>
  <si>
    <t>DOP/180/17</t>
  </si>
  <si>
    <t>DOP/190/17</t>
  </si>
  <si>
    <t>DOP/176/17</t>
  </si>
  <si>
    <t>S-DOP-016/17</t>
  </si>
  <si>
    <t>S-DOP-013/17</t>
  </si>
  <si>
    <t>S-DOP-008/17</t>
  </si>
  <si>
    <t>CONVENIO DE AMPLIACIÓN: $564,375.04</t>
  </si>
  <si>
    <t>Supervision Externa de la Obra: Pavimentacion de la Calle Reparto Agrario Col. Patria Nueva</t>
  </si>
  <si>
    <t>Supervision Externa de la Obra: Pavimentacion de la Calle Ejido de Santa Clara en la Col. Ejidal</t>
  </si>
  <si>
    <t>DOP/209/17</t>
  </si>
  <si>
    <t>DOP/210/17</t>
  </si>
  <si>
    <t xml:space="preserve"> Adecuaciones para Instalacion de Luminarias en zonas vulnerables del Plantel Celaya de el CECYTE Guanajuato</t>
  </si>
  <si>
    <t xml:space="preserve"> Rehabilitación de Guarniciones y Banquetas de la Calle Pípila y Calle  Rosas Moreno, Zona Centro</t>
  </si>
  <si>
    <t>Construccion de la primera Etapa del Edificio academico  departamental de  sistemas y computacion en el Instituto Tecnologico de Roque (FORTALECE)</t>
  </si>
  <si>
    <t>Pavimentacion de la Calle Aurelio Bonilla en la Colonia Ampliación Emiliano Zapata</t>
  </si>
  <si>
    <t>AUMENTA APORTACION PROGRAMA HABITAT $ 3' 797,428</t>
  </si>
  <si>
    <t>DISMINUYEN LOS 5MDP  DE PASEO GUADALUPE</t>
  </si>
  <si>
    <t>AUMENTA APORTACION PROGRAMA HABITAT</t>
  </si>
  <si>
    <t>DISMINUYE APORTACION COMANDANCIA MONTEBLANCO $ 1´305,545.05</t>
  </si>
  <si>
    <t>AUMENTA $ 3110,292.94</t>
  </si>
  <si>
    <t xml:space="preserve">JUMAPA-CELAYA-OP-2016-46       </t>
  </si>
  <si>
    <t>Acciones JUMAPA</t>
  </si>
  <si>
    <t>DOP/127/16</t>
  </si>
  <si>
    <t xml:space="preserve">Construccion de Cuartos dormitorios en La Aurora, Roque y San Miguel Octopan (Complemento) PIDH </t>
  </si>
  <si>
    <t>DOP/112/16</t>
  </si>
  <si>
    <t>Construcción De Polideportivo Gran Hacienda, Municipio De Celaya, Gto. (Complemento)</t>
  </si>
  <si>
    <t>ANTICIPO</t>
  </si>
  <si>
    <t>DOP/189/17</t>
  </si>
  <si>
    <t>S-DOP-009/17</t>
  </si>
  <si>
    <t>S-DOP-015/17</t>
  </si>
  <si>
    <t>S-DOP-019/17</t>
  </si>
  <si>
    <t>Convenio moificatorio estructura financiera</t>
  </si>
  <si>
    <t>Convenio de disminucion por $ 101,177.06</t>
  </si>
  <si>
    <t>Convenio de ampliacion (Complemento)</t>
  </si>
  <si>
    <t>S-DOP-017/17</t>
  </si>
  <si>
    <t>S-DOP-018/17</t>
  </si>
  <si>
    <t>Convenio de ampliacion por $ 40,402.78</t>
  </si>
  <si>
    <t>Falta suficiencia por $ 41,194.43. Conv. Modificatorio. Finiquito $ 341,194.43 (30/11/17)</t>
  </si>
  <si>
    <t>Convenio de ampliación por $ 20,962.63</t>
  </si>
  <si>
    <t>DOP/216/17</t>
  </si>
  <si>
    <t>Convenio de ampliación por $ 31,617.54</t>
  </si>
  <si>
    <t>Convenio de ampliacion por $ 93,674.46 (Por cambio de estructura financiera)</t>
  </si>
  <si>
    <t>DOP/218/17</t>
  </si>
  <si>
    <t>Convenio de ampliacion $ 138,708.16</t>
  </si>
  <si>
    <t>DOP/225/17</t>
  </si>
  <si>
    <t>Convenio de ampliacion $ 31,463.42</t>
  </si>
  <si>
    <t>Supervision externa de la obra: Pavimentacion de la Calle Presa de la Esperanza Col. Alfredo V. Bonfil</t>
  </si>
  <si>
    <t>Supervision externa de la obra: Pavimentacion de la Calle Pipila Col. Arboledas de San Martín Camargo (Col. San Martín Camargo)</t>
  </si>
  <si>
    <t>Supervision externa de la obra: Pavimentacion de la Calle Plan de San Luis de la Col. Emiliano Zapata</t>
  </si>
  <si>
    <t>CORREGIR APORTACION 1750 Y 250 / REQUIERE PRESUPUESTO ADICIONAL POR $ 71,020.67</t>
  </si>
  <si>
    <t>DOP/224/17</t>
  </si>
  <si>
    <t>Supervision Externa de la Obra: Pavimentacion de la Juan Jose Torres Landa, Localidad El Becerro</t>
  </si>
  <si>
    <t>=</t>
  </si>
  <si>
    <t>DOP/204/17</t>
  </si>
  <si>
    <t>DOP/229/17</t>
  </si>
  <si>
    <t>OBRA NUEVA PUENTE $ 200,000</t>
  </si>
  <si>
    <t>DOP/214/17</t>
  </si>
  <si>
    <t>Rehabilitacion de Carpeta de la Calle Guillermo Prieto Tramo de Av Anenencuilco hacia el Centro</t>
  </si>
  <si>
    <t>Ampliacion de Espacio Publico, Jardín Principal Localidad El Sauz (Complemento)</t>
  </si>
  <si>
    <t>El Sauz Villaseñor</t>
  </si>
  <si>
    <t>Pavimentacion de la Calle La Sauceda (Complemento)</t>
  </si>
  <si>
    <t>Rehabilitación de tramos aislados de las laterales al Eje Manuel J. Clouthier</t>
  </si>
  <si>
    <t>Bacheo y Riego de sello en la la  Av. México- Japón  (Complemento) Tramo de las vías del tren al Centro Comunitario en la Col. Santa Rita</t>
  </si>
  <si>
    <t>Gestión para obtener autorización de impacto ambiental para el proyecto de parque urbano en las antiguas instalaciones de la feria en el Municipio de Celaya, Gto</t>
  </si>
  <si>
    <t xml:space="preserve">Proyecto para la construccion del parque de convivencia social en la Comunidad de Jauregui </t>
  </si>
  <si>
    <t>Proyecto ejecutivo para pavimento de concreto hidraulico guarniciones y banquetas, con reposicion de redes de drenaje y agua potable de las calles 1)Ambrosio Figeroa, tramo Genaro Amezcua a Aurelio Bonilla; 2) Bonifacio Gracia, tramo Antonio Barona a Aurelio Bonilla Col. Emiliano Zapata; 3) Privada Ramos Millan, tramo Ramos Millan al fondo Col. Americas; 4) Arbol de Tule, tramo Paseo de Gunajauato a Hinojo, Col. del Bosque 3era seccion, Celaya, Gto.</t>
  </si>
  <si>
    <t xml:space="preserve">"Proyecto de pavimentación de la calle 1)Pirul, tramo de Rio Bravo al fondo de calle, 2) Barcelona, tramo de calle Venecia a calle Pirul, 3) calle Benito Juarez, tramo de calle Revolución a fondo de calle, 4) Valencia, tramo de calle Venecia a calle Pirul, 5) Inglaterra, tramo de calle Venecia a calle Pirul, todas en la colonia Arboledas de San Martín de Camargo, en el Municipio de Celaya, Gto." </t>
  </si>
  <si>
    <t>"Elaboracion de proyecto ejecutivo para pavimento de concreto hidráulico, guarniciones y banquetas, red de drenaje y red de agua potable: de las calles 1.- calle Miguel Hidalgo: tramo de la plaza del Arbol a plaza del Agua, de la comunidad de Gasca, 2.- calle Niño Perdido: tramo de la plaza de las Aves a jardin, de la comunidad de Gasca; 3.- calle Roberto Oliveros: tramo de la calle Chapultepec a la calle Díaz Ordaz y da la vuelta al sur sobre la calle Díaz Ordáz 45ml, de la Comunidad de Gasca; 4.- calle Plan de San Luis: tramo de la calle Jesús Navarro a calle Genoveva de la "o", de la colonia Emiliano Zapata; 5.- calle Benito Juarez: tramo de asfalto existente a terminación de casas del Municipio de Celaya, Gto. "</t>
  </si>
  <si>
    <t>"proyectos de pavimentación de la calle 1) mexicali tramo: de avenida méxico-japón a aguascalientes en la colonia santa rita norte, calle 2) rio coatzacoalcos tramo: rio ameca a rio nazas en la colonia progreso y solidaridad, calle 3)ayuntamiento tramo: valle de lerma a suarez pereda, en el municipio de celaya, gto"</t>
  </si>
  <si>
    <t>Proyecto de pavimentacion de la calle 1) Mezquite, tramo calle Granjeno a calle prol. Pingúica en Col. Del Bosque 1era seccion; 2) Paseo de Guanajuato, tramo de fin de pavimento a calle Pachote en Col. Bosque 2da Seccion; 3) Chabacano, tramo de calle Granjeno a calle Huizacheen Col del Bosque 2da seccion; 4) Guayabo, tramo de calle Toronja a calle Garambullo en Col. del Bosque 2da seccion; 5) Nispero de Paraiso a Huizache en Col. del Bosque 2da seccion, Celaya Gto.</t>
  </si>
  <si>
    <t>"proyecto de pavimento de concreto hidráulico, guarniciones y banquetas de la calle plan de tuxtepec, tramo, plan de agua prieta a plan del carmen en la colonia lázaro cárdenas; 2) proyecto proyecto de pavimento de concreto hidráulico, guarniciones y banquetas de la calle pipila, tramo: de rio bravo a pino, en la colonia san martín de camargo, 3) proyecto de pavimento de concreto hidráulico, guarniciones y banquetas de la calle ejido de las magdalenas, tramo: reforma agraria a ejido de santa clara, en la colonia ejidal; 4) proyecto de pavimento, guarniciones, banquetas y ciclovía de la calle miguel hidalgo, tramo: de la calle 20 de noviembre a la calle 16 de septiembre, en la colonia san jose el nuevo, en el municipio de celaya, gto. "</t>
  </si>
  <si>
    <t>"elaboración de proyecto ejecutivo para pavimento de concreto hidráulico, guarniciones y banquetas, red de drenaje y red de agua potable: de las calles 1.- calle ejido de santa clara: tramo de la calle escuadrón 201 a calle ejido de san nicolás de parra de la colonia ejidal; 2.- calle mauricio clark: tramo de la plaza de las aves a calle roberto oliveros, de la comunidad de gasca; 3.- calle revolución: 4.- calle hidalgo: tramo de la calle ignacio allende a calle mariano jimenez de la comunidad de jauregui. 5.- calle adolfo lópez mateos: tramo de división del norte a calle corregidora de la comunidad de santa teresa, del municipio de celaya, gto."</t>
  </si>
  <si>
    <t>"proyectos de pavimentación de la calle 1) madrid, tramo de  calle venecia a fondo de calle, 2) moscú, tramo de calle venecia a fondo de calle, 3) parís, tramo de calle francia a calle vista hermosa, 4) álvaro obregón, tramo de calle revolución a fondo de calle, 5) rio bravo, tramo de calle pirul a calle pípila, todas en la colonia arboledas de san martín de camargo, en el municipio de celaya, gto"</t>
  </si>
  <si>
    <t>"Proyectos de pavimentación de la calle 1) Haya, tramo de la calle Ahuehuete a calle Vid, en la Col. del bosque 1a sección, 2) Huizache, tramo de calle Camelia a calle Tejo, en la Col. del Bosque 1a Sección, 3) Menta, tramo Nispero a calle 1a de Cacao, en la Colonia del Bosque 3a sección, 4) Aguacate, tramo de calle Anis a fin de calle, en la Col. del Bosque 2a Sección, en el Municipio de Celaya, Gto. "</t>
  </si>
  <si>
    <t>PROYECTO PARA LA REHABILITACION DEL ESPACIO PUBLICO DE LA COMUNIDAD DE SAN CAYETANO, MUNICIPIO DE CELYA</t>
  </si>
  <si>
    <t>PROYECTO REHABILITACION DE PARQUE Y CONSTRUCCION DE PLAZA CIVICA EN RINCON DE TAMAYO</t>
  </si>
  <si>
    <t>REALIZACION DE ESTUDIOS DE MECANICA DE SUELOS CON CAPACIDAD DE CARGA EN 1)PARQUE CONVIVENCIA SOCIAL LOS OLIVOS, 2)PARQUE BRISAS DEL VALLE, 3)JARDIN PRINCIPAL COM EL BECERRO, EN EL MPIO DE CELAYA</t>
  </si>
  <si>
    <t>PROYECTO EJECUTIVO DE REHABILITACION DE ESPACIO PUBLICO EN LA COMUNIDAD DE PRESA BLANCA</t>
  </si>
  <si>
    <t>"PROYECTO EJECUTIVO PARQUE PÚBLICO EN CALLE PIRACANTO COLONIA GIRASOLES 2A SECCIÓN, MUNICIPIO DE CELAYA, GTO."</t>
  </si>
  <si>
    <t>"ELABORACIÓN DE VIDEO INFORMATIVO Y RECORRIDO VIRTUAL, DE PROYECTO DE PARQUE URBANO EN ANTIGUAS INSTALACIONES DE LA FERIA, MUNICIPIO DE CELAYA, GTO."</t>
  </si>
  <si>
    <t>PROYECTO EJECUTIVO PARA LA CONSTRUCCIÓN DEL PARQUE DE CONVIVENCIA SOCIAL EN LA COLONIA VILLAS DE LOS ARCOS, MUNICIPIO DE CELAYA, GTO.</t>
  </si>
  <si>
    <t>PROYECTO EJECUTIVO DE PLAZA PUBLICA EN SAUZ DE VILLASEÑOR</t>
  </si>
  <si>
    <t>"ELABORACION DE PRYECTOS EJECUTIVOS PARA PAVIMENTACION DE CONCRETO HIDRAULICO RED DE DRENAJE Y RED DE AGUA POTABLE  TERCERA PRIVADA DE SITIO DE QUERETARO, TRAMO DE AV. 2 DE ABRIL A CALLE SITIO DE QUERETARO, EN LA COL. SAN JOSE DE LA LAJA 2A SECCIÓN, Y CALLE EJIDO DE GASCA, COLONIA EJIDAL EN EL MUNICIPIO DE CELAYA, GTO. "</t>
  </si>
  <si>
    <t>ESTUDIOS PRELIMINARES (TOPOGRAFIA Y MECANICA DE SUELOS) PARA LA REHABILITACION DE ESPACIO PUBLICO EN COL. PROGRESO SOLIDARIDAD EN EL MUNICIPIO DE CELAYA GTO</t>
  </si>
  <si>
    <t>PROYECTOS DE PAVIMENTACION DE LA CALLE 1) JUANA M. JIMENEZ, TRAMO DE CALLE MICAELA BEDOLLA A CALLE MARIA JOSEFA GONZALEZ, EN LA COL. LAS INSURGENTES 2) AV. LAS AGUILAS CUERPO NORTE, TRAMO DE AV. TECNOLOGICO A CALLE HALCON, EN LA COL. LAS AVES 3) LAGO SUPERIOR, LAGO TANGANICA Y PRIV. LAGO TANGANICA, TRAMO DE LAGO HURON A FIN DE PRIV. LAGO TANGANICA, EN LA COL. LAGOS 4) BENITO JUAREZ, TRAMO DE CALLE ALDAMA A CALLE ADRIAN AGUIRRE BENAVIDES EN LA COMUNIDAD DE LA LAJA, EN EL MUNICIPIO DE CELAYA, GTO.</t>
  </si>
  <si>
    <t>ELABORACIÓN DE PROYECTO EJECUTIVO PARA PAVIMENTO DE CONCRETO HIDRÁULICO, GUARNICIONES Y BANQUETAS, RED DE DRENAJE Y RED DE AGUA POTABLE: DE LAS CALLES  1.- CALLE LEANDRO VALLE:  Tramo de La Calle Pino Suarez a Calle Francisco I. Madero de la Comunidad de Roque. 2.- CALLE FRACISCO VILLA: De calle Emiliano Zapata a Calle María Enriqueta de la Comunidad el Puesto. 3.- CALLE HIDALGO: De calle Victoria al Fondo, de la Colonia Santa Anita. 4.- CALLE PANAMA:  De la Calle Costa Rica a Parcelas de la Comunidad de Plancarte. 5.- CALLE ALDAMA: De las Vías de FFCC a Calle Miguel Hidalgo, de la Comunidad de San Juan de la Vega. 6.- PLAZA FRANCISCO VILLA: De calle Benito Juárez a Calle Paseo de la Presa, de la Comunidad del Sauz de Villa Señor. 7.- CALLE ABINO GARCIA: De Avenida 12 de Octubre a Vías del Ferrocarril, de la Colonia Zona de Oro I, del Municipio de Celaya Gto.</t>
  </si>
  <si>
    <t>PROYECTOS DE PAVIMENTACION DE LA CALLE 1)EJIDO DE CANOAS TRAMO:EJIDO DE LA MACHUCA A EJIDO DE MUÑIZ, EN LA COL. EJIDAL 2)LUIS ENRIQUE ERRO TRAMO: DE CONCEPCION BEISTEGUI A RUBEN M. CAMPOS, EN LA COL. GIRASOLES 3A SECCION 3) PRESA DE LA OLLA TRAMO: DE PRESA DE JURIQUILLA A PRESA DE LA AMISTAD, EN LA COL. ALFREDO VLADIMIR BONFIL 4)YURIRIA TRAMO: DE AV. AEROPUERTO A CALLE CELAYA EN EL FRACCIONAMIENTO EL PUENTE, EN EL MUNICIPIO DE CELAYA, GTO.</t>
  </si>
  <si>
    <t>ELABORACIÓN DE PROYECTO EJECUTIVO PARA PAVIMENTO DE CONCRETO HIDRÁULICO, GUARNICIONES Y BANQUETAS, RED DE DRENAJE Y RED DE AGUA POTABLE: DE LAS CALLES  1.- ACTUALIZACION DE PROYECTO DE LA CALLE BENITO JUÁREZ: De acceso a la feria a Calle 5 de Mayo, de la Comunidad los Mancera. 2.- CALLE EMILIANO ZAPATA: De privada Josefa Ortiz de Domínguez a salida a Crespo, de la Comunidad  de  Arreguin de Abajo. 3.- CALLE MANANTIALES: De la Calle Melchor Ocampo a inicio de parcelas de la Comunidad de Santa María del  Refugio. 4.- CALLE SUR 7: De calle poniente 7 a Calle Av. Manuel Orozco y Berra, de las Colonias Real de Celaya y Ciudad Industrial. 5.- ACTUALIZACION DE PROYECTO DE LA CALLE URIANGATO: De Calle León a Calle Villagrán de la Colonia Santa María. 6.- CALLE BENITO JUAREZ Y CALLE 2DA., PRIVADA DE AMADO NERVO: De calle Quintana Roo al Fondo de la Calle de 2da., privada de Amado Nervo, de la Comunidad de San Miguel Octopan., del Municipio de Celaya Gto.</t>
  </si>
  <si>
    <t>CONSTRUCCION DE PARQUE DE CONVIVENCIA SOCIAL EN LA COL. DEL BOSQUE 2DA SECCION, MUNICIPIO DE CELAYA, GTO.</t>
  </si>
  <si>
    <t>PROYECTO CONSTRUCCION DE PARQUE CONVIVENCIA SOCIAL EN EL CANTAR</t>
  </si>
  <si>
    <t>REALIZACION DE ESTUDIOS DE MECANICA DE SUELOS Y DISEÑO DE PAVIMENTOS EN 1) TECHADO DE ZONA DE ESTACIONAMIENTO EN LAS NUEVAS INSTALACIONES DE LA FERIA, Y 2)CALLE ZARAGOZA EN TENERIA DEL SANTUARIO</t>
  </si>
  <si>
    <t>PROYECTOS EJECUTIVOS DE PAVIMENTACIÓN DE LAS CALLES 1)EL SAUZ, EN EL TRAMO: DE LA CALLE MONTE OLIMPO A LA CALLE MONTE EVEREST, EN LA COL. RINCONADA DE ARBOLEDAS Y ARBOLEDAS 2A. SECCIÓN, 2)TUCAN, EN EL TRAMO: DE LA CALLE GAVILAN A LA CALLE EL SAUZ, EN LA COL. RINCONADA DE ARBOLEDAS, 3) LAGO DE PATZCUARO, EN EL TRAMO, DE LA CALLE MONTE TAURO A LA CALLE LAGUNA DE YURIRIA, EN LA COL. LAGOS, 4) LAGO DE GUADALUPE, EN EL TRAMO: DE LA CALLE LAGUNA SANTA RITA A CALLE LAGO DE ATOTONILCO, EN LA COL. LAGOS, 5) CERRITO COLORADO, EN EL TRAMO: DE LA CALLE EJIDO DE CERRO PRIETO A LA CALLE CERRO DE CULIACÁN, EN LA COL. LAS JACARANDAS, 6) PABLO NERUDA,EN EL TRAMO: DE LA CALLE MEZQUITES A AV. EL TAJIN (CAMINO A PELAVACAS), EN LA COL. GUADALUPE, 7) 21 DE ENERO, EN EL TRAMO: DE CAMINO A JOFRE A CALLE 26 DE MARZO, EN LA COL. REFORMA, 8) JORGE NEGRETE, EN EL TRAMO: DE AV. EL SAUZA CALLE DIAMANTE, EN LA COL. IMPERIAL, 9)LAGO DE TEXCOCO, EN EL TRAMO: DE AV. TECNOLÓGICO A FIN DE CALLE, EN LA COL. LINDAVISTA, EN EL MUNICIPIO DE CELAYA, GTO</t>
  </si>
  <si>
    <t>ELABORACIÓN DE PROYECTO EJECUTIVO PARA PAVIMENTO DE CONCRETO HIDRÁULICO, GUARNICIONES Y BANQUETAS, RED DE DRENAJE Y RED DE AGUA POTABLE: DE LAS CALLES  1.- CALLE QUETZAL TRAMO: DE PALOMA A SEMBRADIOS DE LA COLONIA VALLE DE LA PRIMAVERA; 2.- CALLE 20 DE NOVIEMBRE TRAMO: DE CALLE TORRES LANDA A CALLE AMARANTO DE LA COLONIA EL BECERRO (SANTOS DEGOLLADO Y FLORIDA); 3.- CALLE MIGUEL HIDALGO Y COSTILLA TRAMO: DE MANUEL CELIS (FIN DE PAVIMENTO) A AV. CONSTITUCION DE 1917 (CAMINO SAN CAYETANO) COMUNIDAD DE ROQUE. 4.- CALLE NIÑOS HEROES TRAMO: DE FIN DE PAVIMENTO A AV. CONSTITUCION DE 1917 (CAMINO SAN CAYETANO) COMUNIDAD DE ROQUE 5.- CALLE JUSTO SIERRA TRAMO:  DE CALLE IGNACIO ALLENDE A CALLE NICOLAS BRAVO COMUNIDAD DE ROQUE. 6.- CALLE CLAVEL TRAMO:  DE CALLE LIRIO A CALLE GLADIOLA DE LA COMUNIDAD SAN JOSE DE MENDOZA. 7.- CALLE VIOLETA TRAMO: DE CALLE LIRIO A CALLE GLADIOLA DE LA COMUNIDAD DE SAN JOSE DE MENDOZA. 8.- CALLE SAPIEN TRAMO: DE AVENIDA PRINCIPAL A FIN DE CALLE DE LA COMUNIDAD SAN RAFAEL DE YUSTIS. 9.- CALLE PRIVADA LOPEZ TRAMO: DE CALLE SAPIEN A FIN DE CALLE DE LA COMUNIDAD DE SAN RAFAEL DE YUSTIS.  DEL MUNICIPIO DE CELAYA GTO</t>
  </si>
  <si>
    <t>ELABORACIÓN DE PROYECTO EJECUTIVO PARA PAVIMENTO DE CONCRETO HIDRÁULICO, GUARNICIONES Y BANQUETAS, RED DE DRENAJE Y RED DE AGUA POTABLE: DE LAS CALLES  1.- CALLE FRANCIA TRAMO: DE CALLE VENECIA A FIN DE CALLE DE LA COLONIA AMPLIACION CAMARGO. 2.- CALLE CHAPULTEPEC TRAMO: DE CALLE FERNANDO MONTES DE OCA A FIN DE CALLE DE LA COLONIA LA TRINIDAD. 3.- CALLE DR MORA  TRAMO: DE CAMINO A SAN MIGUEL OCTOPAN A FIN DE CALLE DE LA COLONIA LA TRINIDAD. 4.- CALLE MONTERREY TRAMO: DE CALLE DURANGO A CALLE MEXICO-JAPON DE LA COLONIA SANTA RITA SUR. 5.- CALLE LONDRES TRAMO: DE CALLE VENECIA A FIN DE CALLE DE LA COLONIA AMPLIACION CAMARGO. 6.- CALLE RINCON DE LOS ALAMOS TRAMO: DE CALLE RINCON DEL JARDIN A AV. CAMINO A SAN MIGUEL OCTOPAN DE LA COLONIA RINCONADA SAN MIGUEL. 7.- CALLE HUERTA DE LOS MANZANOS TRAMO: DE CALLE HUERTA DE LAS MANDARINAS A HUERTA DE LOS NARANJOS DE LA COLONIA LAS HUERTAS  8.- CALLE RETORNO DEL PASEO PONIENTE TRAMO: AV. SAN MIGUEL OCTOPAN  A CALLE RINCON DEL JARDIN DE LA COLONIA RINCONADA SAN MIGUEL. 9.- CALLE TOMAS SANCHEZ HERNANDEZ, TRAMO: DE AV. 12 DE OCTUBRE A CALLE DIEGO ARENAS GUZMAN, EN LA COL. ZONA DE ORO PRIMERA SECCION DE LA CIUDAD DE CELAYA GTO.</t>
  </si>
  <si>
    <t xml:space="preserve">PROYECTO DE INGENIERÍAS PARA EL PARQUE MORELOS LADO ORIENTE, EN ZONA CENTRO DE CELAYA, GTO. </t>
  </si>
  <si>
    <t>PROYECTOS EJECUTIVOS DE PAVIMENTACION DE LAS CALLES 1) AVELLANO, EN EL TRAMO: DE AVE. PASEO DE LOS NARANJOS A AVE. PASEO DE LOS NARANJOS, EN LA COL. NARANJOS 2, 2) CARLOS PACHECO, EN EL TRAMO: DE CALLE RUBEN M. CAMPOS A CALLE PEDRO MARQUEZ, EN LA COL. GIRASOLES 3A SECCION, 3) JOSE MIGUEL QUINTANA, EN EL TRAMO: DE CALLE JOSE LOPEZ BERMUDEZ A CALLE RUBEN M. CAMPOS, EN LA COL. GIRASOLES 3A SECCION, 4) BLAS BALCARCEL, EN EL TRAMO: DE CALLE MANUEL GUTIERREZ NAJERA A CALLE LIMONERO, EN LA COL. GIRASOLES 3A SECCION, 5) RETORNO DE CAOBA, EN EL TRAMO: DE CALLE LIMONERO A CALLE LIMONERO, EN LA COL. GIRASOLES 2A SECCION, 6) SABINO, EN EL TRAMO: DE CALLE LIMONERO A CALLE JACARANDA, EN LA COL. GIRASOLES 2A SECCION, 7) HUIZACHE, EN EL TRAMO: DE CALLE LIMONERO A CALLE JACARANDA, EN LA COL. GIRASOLES 2A SECCION. 8) PRIVADA EJIDO DE SAN FELIPE, EN EL TRAMO: DE CALLE EJIDO DE SAN FELIPE A FIN DE CALLE, EN LA COL. EJIDAL, 9) 2DA. PRIVADA DE REYNALDO LECONA, EN EL TRAMO: DE FIN DE PAVIMENTO (2DA. DE IGNACIO MAYA) A FIN DE CALLE, EN LA COL. EMILIANO ZAPATA NORTE, EN EL MUNICIPIO DE CELAYA, GTO.</t>
  </si>
  <si>
    <t xml:space="preserve">PROYECTO DE AMPLIACIÓN UMAPS UBICADO EN LA COMUNIDAD DEL BECERRO, AMPLIACIÓN UMAOPS UBICADO EN LA COLONIA PROGRESO SOLIDARIDAD EN EL MUNICIPIO DE CELAYA, GTO. </t>
  </si>
  <si>
    <t>DOP/212/17</t>
  </si>
  <si>
    <t>DOP/223/17</t>
  </si>
  <si>
    <t>DOP/154/17</t>
  </si>
  <si>
    <t>DOP/235/17</t>
  </si>
  <si>
    <t>DOP/215/17</t>
  </si>
  <si>
    <t>DOP/213/17</t>
  </si>
  <si>
    <t>DOP/191/17</t>
  </si>
  <si>
    <t>DOP/227/17</t>
  </si>
  <si>
    <t>DOP/228/17</t>
  </si>
  <si>
    <t>DOP/211/17</t>
  </si>
  <si>
    <t xml:space="preserve">SE DIO SUFICIENCIA EN REMANENTES 5 PARA CONVENIO DE AMPLIACION </t>
  </si>
  <si>
    <t>DOP/238/17</t>
  </si>
  <si>
    <t>S-DOP/020/17</t>
  </si>
  <si>
    <t>S-DOP/021/17</t>
  </si>
  <si>
    <t>Supervision externa de la obra construccion de la ciclovia en la Av. Tecnologico</t>
  </si>
  <si>
    <t>Supervision externa de la obra Pavimentacion de la calle Plan de Tuxtepec en la Col. Lazaro Cardenas</t>
  </si>
  <si>
    <t>no hoja viajera</t>
  </si>
  <si>
    <t>Supervision externa de la obra Pavimentacion de la calle 16 de septiembre Localidad El Becerro</t>
  </si>
  <si>
    <t>SOP</t>
  </si>
  <si>
    <t>Construcción y equipamiento de las instalaciones de un Cuartel General para la Brigada en Irapuato, Gto (Aportación Municipal)</t>
  </si>
  <si>
    <t>ESTUDIOS Y PROYECTOS</t>
  </si>
  <si>
    <t>010/IMIPE/2016</t>
  </si>
  <si>
    <t>PROYECTO EJECUTIVO DE AMPLIACION DE UMAPS UBICADO EN LA COMUNIDAD DEL BECERRO, AMPLIACION DE UMAPS EN LA COLONIA PROGRESO SOLIDARIDAD</t>
  </si>
  <si>
    <t>018/IMIPE/2016</t>
  </si>
  <si>
    <t>ELABORACION DE PROYECTO EJECUTIVO DE PAV DE CONC HID G Y B REDES DE AGUA Y DRENAJE DE CALLE BAMBU, TEHUANTEPEC, REFORMA, PLAN DE HOSPICIO1ERA PRIV DE 5 DE MAYO DEL MUNICIPIO DE CELAYA</t>
  </si>
  <si>
    <t>023/IMIPE/2016</t>
  </si>
  <si>
    <t>Evaliacion de costo-beneficio para proyectos de inversion, ubicados en el Municipio de Celaya Gto. Paquete 1 (2016)</t>
  </si>
  <si>
    <t>016/IMIPE/2015</t>
  </si>
  <si>
    <t>Convenio Modificatorio (Ampliación) del proyecto del DIF</t>
  </si>
  <si>
    <t>18/IMIPE/2017</t>
  </si>
  <si>
    <t>19/IMIPE/2017</t>
  </si>
  <si>
    <t>ELABORACION DE VIDEO INFORMATIVO Y RECORRIDO VIRTUAL, DE PROYECTO DE PARQUE URBANO EN ANTIGUAS INSTALACIONES DE LA FERIA, MUNICIPIO DE CELAYA, GTO.</t>
  </si>
  <si>
    <t>20/IMIPE/2017</t>
  </si>
  <si>
    <t>21/IMIPE/2017</t>
  </si>
  <si>
    <t xml:space="preserve">"PROYECTO EJECUTIVO DE PLAZA PÚBLICA EN LA COMUNIDAD EL SAUZ DE VILLASEÑOR, MUNICIPIO DE CELAYA, GUANAJUATO". </t>
  </si>
  <si>
    <t>24/IMIPE/2017</t>
  </si>
  <si>
    <t>52.10</t>
  </si>
  <si>
    <t>25/IMIPE/2017</t>
  </si>
  <si>
    <t>26/IMIPE/2017</t>
  </si>
  <si>
    <t>27/IMIPE/2017</t>
  </si>
  <si>
    <t>28/IMIPE/2017</t>
  </si>
  <si>
    <t>025/IMIPE/2015</t>
  </si>
  <si>
    <t>Estudio de mecánica de suelos Comunidad de La Aurora Y  Comunidad de Santa Teresa</t>
  </si>
  <si>
    <t>016/IMIPE/2016</t>
  </si>
  <si>
    <t>PROYECTO EJECUTIVO DE EDIFICIO DE CAFETERIA, FORO AL AIRE LIBRE, SALA DE EXPOSICIONES Y CENTRO DE EXPOSICIONES EN PARQUE URBANO ANTIGUAS INSTALACIONES DE LA FERIA</t>
  </si>
  <si>
    <t>017/IMIPE/2016</t>
  </si>
  <si>
    <t>PROYECTO DE AREA DE SERVIVIOS Y MODULOS SANITARIOS EN EL PARQUE URBANO UBICADO EN LAS ANTIGUAS INSTALACIONES DE LA FERIA DEL MUNICIPIO DE CELAYA</t>
  </si>
  <si>
    <t>020/IMIPE/2016</t>
  </si>
  <si>
    <t>PROYECTO EJECUTIVO DE SALONES DE USOS MULTIPLES 1 Y 2 EN PARQUE URBANO EN LAS ANTIGUAS INSTALACIONES DE LA FERIA MUNICIPIO DE CELAYA</t>
  </si>
  <si>
    <t>026/IMIPE/2016</t>
  </si>
  <si>
    <t>PROYECTO EJECUTIVO DE INSTALACIONES DEL PARQUE URBANO EN LAS ANTIGUAS INSTALACIONES DE LA FERIA, MUNICIPIO DE CELAYA, GTO.</t>
  </si>
  <si>
    <t>024/IMIPE/2016</t>
  </si>
  <si>
    <t>PROYECTO EJECUTIVO DE LOCALES COMERCIALES EN EL PARQUE URBANO EN LAS ANTIGUAS INSTALACIONES DE LA FERIA, MUNICIPIO DE CELAYA, GTO.</t>
  </si>
  <si>
    <t>001/IMIPE/2017</t>
  </si>
  <si>
    <t>ESTUDIO DE IMPACTO AMBIENTAL PARA EL PARQUE URBANO EN LAS ANTIGUAS INSTALACIONES DE LA FERIA, MUNICIPIO DE CELAYA, GTO.</t>
  </si>
  <si>
    <t>028/IMIPE/2016</t>
  </si>
  <si>
    <t>38/IMIPE/2017</t>
  </si>
  <si>
    <t>PARQUE DE CONVIVENCIA SOCIAL EN CALLE MIGUEL G. PUEBLITA, COL. GOBERNADORES</t>
  </si>
  <si>
    <t>33/IMIPE/2017</t>
  </si>
  <si>
    <t>57.10</t>
  </si>
  <si>
    <t xml:space="preserve">PROYECTO EJECUTIVO DE PARQUE DE CONVIVENCIA SOCIAL EN COL.VILLAS DE LA HACIENDA, CELAYA, GTO. </t>
  </si>
  <si>
    <t>39/IMIPE/2017</t>
  </si>
  <si>
    <t xml:space="preserve">ESTUDIO DE MECANICAS DE SUELOS PARA PARQUES DE CONVIVENCIA SOCIAL EN: 1)COL. SAUCES; 2) COL. HACIENDA DON GU(CIRCUITO JURICA); 3)COL. 15 DE MAYO; 4) COL. CALESA I; 5)COL HACIENDA DEL BOSQUE ; 6) COL. SAN JUANICO Y 7)COL. FOVISSSTE; TODAS EN EL MUNICIPIO DE CELAYA, GTO. </t>
  </si>
  <si>
    <t>40/IMIPE/2017</t>
  </si>
  <si>
    <t xml:space="preserve">PROYECTO: "PARQUE DEL REAL EN LA COL. VALLE DEL REAL, ENTRE LAS CALLES REAL DE LA ALAMEDA Y REAL DEL BOSQUE", CELAYA, GTO. </t>
  </si>
  <si>
    <t>41/IMIPE/2017</t>
  </si>
  <si>
    <t xml:space="preserve">LEVANTAMIENTOS TOPOGRÁFICOS DE: 1)ANDADOR DEMOCRACIA, TRAMO: ALLENDE A BENITO JUAREZ; 2) CALLE MORELOS, TRAMO: DE ALLENDE A VENUSTIANO CARRANZA; 3) CALLE VENUSTIANO CARRANZA, TRAMO: MADERO A MORELOS, 4) PRIVADA VENUSTIANO CARRANZA, TRAMO: DE VENUSTIANO CARRANZA A PARQUE MORELOS, ; TODAS EN LA ZONA CENTRO DEL MUNICIPIO DE CELAYA, GTO. </t>
  </si>
  <si>
    <t>42/IMIPE/2017</t>
  </si>
  <si>
    <t>PROYECTO EJECUTIVO PARQUE DE CONVIVENCIA SOCIAL EN AVENIDA CONSTITUYENTES , COL. EMETERIA VALENCIA Y PARQUE DE CONVIVENCIA SOCIAL EN ANDADOR DIAMANTE COL SAN JUANICO, MUNICIPIO DE CELAYA, GTO</t>
  </si>
  <si>
    <t>43/IMIPE/2017</t>
  </si>
  <si>
    <t xml:space="preserve">PROYECTO DE COMANDANCIA COMPACTA Y PARQUE URBANO EN EL FRACCIONAMIENTO LOS OLIVOS SEGUNDA SECCIÓN, MUNICIPIO DE CELAYA, GTO. </t>
  </si>
  <si>
    <t>003/IMIPE/2016</t>
  </si>
  <si>
    <t>PROYECTO EJECUTIVO: CALLE EMILIANO ZAPATA, COM SAN ELIAS; CALLE PIPILA, COM SAN ELIAS; CALLE MORELOS, COM SAN ELIAS; CALLE LAZARO CARDENAS, COM SAN ELIAS; CALLE VENUSTIANO CARRANZA, COM SAN ELIAS; CALLE ZARAGOZA, COM SAN ISIDRO DE CRESPO; CAMINO SAN JOSE DE LA PRESA LA AURORA</t>
  </si>
  <si>
    <t>007/IMIPE/2016</t>
  </si>
  <si>
    <t>OBTENCION DE AUTORIZACIONES DE IMPACTO AMBIENTAL DE LOS PROYECTOS SAN JOSE DE GUANAJUATO Y LIENZO CHARRO</t>
  </si>
  <si>
    <t>009/IMIPE/2016</t>
  </si>
  <si>
    <t>ESTUDIO TECNICO ECONOMICO, ACCIONES Y PROGRAMAS AMBIENTAQLES DERIVADOS EN MATERIA DE IMPACTO AMBIENTAL FEDERAL DEL PROYECTO EJECUTIVO DE PUENTE VEHICULAR SOBRE EL RIO LAJA, EN EL CAMINO A JOFRE, EN EL MUNICIPIO DE CELAYA; EXENCION DEL IMPACTO AMBIENTAL RAMAL AEROPUERTO EN EL MPIO DE CELAYA</t>
  </si>
  <si>
    <t>012/IMIPE/2016</t>
  </si>
  <si>
    <t>ELABORACION DE PROYECTO EJECUTIVO DE PAVIMENTACION DE CONCRETO HIDRAULICO, GUARNICIONES Y BANQUETAS, REDES DE AGUAPOTABLE Y DRENAJE 1) CALLE AMADO SALAZAR, COL EMILIANO ZAPATA, 2) CALLE SEGUNDA DE CACAO COL DEL BOSQUE, 3) CALLE OLMO COL ARBOLEDAS DE SAN MARTIN DE CAMAQRGO, 4) CALLE MANGLE COL DEL BOSQUE, 5) CALLE PRIV EUSEBIO GLEZ COL AMERICAS, DEL MPIO DE CELAYA</t>
  </si>
  <si>
    <t>57.20</t>
  </si>
  <si>
    <t>013/IMIPE/2016</t>
  </si>
  <si>
    <t>ELABORACION DE PROYECTO EJECUTIVO PARA PAVIMENTO DE CONCRETO HIDRAULICO GUARNICIONES Y BANQUETAS DE LAS CALLES 1) BLVD A L M  E IGNACIO ALLENDE DE LA COMUNIDAD DE JAUREGUI ) CALLE BENITO JUAREZ EN LA COMUNIDAD DEL ZAUS DE VILLASEÑOR 3) CALLE BERLIN EN EJIDO DE CAMARGO 4) CALLE ALVARO OBREGON Y MIGUEL HIDALGO DE LA COMUNIDAD DE GASCA 5) CALLE LISEO RODRIGUEZ  COM DE GASCA 6) CALLE VALLE HUERTA DE LOS DURAZNOS COL LAS HUERTAS</t>
  </si>
  <si>
    <t>014/IMIPE/2016</t>
  </si>
  <si>
    <t>PROYECTO EJECUTIVO DE COMANDANCIA COMPACTA DE LAS TORRES MUNICIPIO DE CELAYA GUANAJUATO</t>
  </si>
  <si>
    <t>015/IMIPE/2016</t>
  </si>
  <si>
    <t>OBTENCION DE AUTORIZACIONES DE IMPACTO AMBIENTAL ANTE SEMARNAT DE MEJORAMIENTO EJE MANUEL J CLOUTHIER TRAMO CARRETERA ALTERNA  A VILLAGRAN AV TECNOLOGICO CELAYA GTO</t>
  </si>
  <si>
    <t>021/IMIPE/2016</t>
  </si>
  <si>
    <t>PROYECTO DE CONSTRUCCION CICLOVIA Y AMPLIACIO DEL CAMINO A SAN MIGUEL OCTOPAN, TRAMO VIAS DEL FFCC A LA COMUNIDAD DE LA TRINIDAD</t>
  </si>
  <si>
    <t>022/IMIPE/2016</t>
  </si>
  <si>
    <t>PROYECTO EJECUTIVO DE LA COMANDANCIA DE POLICIAS EN LA LOCALIDAD DE SAN JUAN DE LA VEGA</t>
  </si>
  <si>
    <t>09/IMIPE/2017</t>
  </si>
  <si>
    <t>Proyecto electrico y de alumbrado público del camino a San Jóse de Guanajuato</t>
  </si>
  <si>
    <t>027/IMIPE/2016</t>
  </si>
  <si>
    <t>Proyecto de modificación del estacionamiento y plaza nor-poniente en la tercer sección del parque Xochipilli</t>
  </si>
  <si>
    <t>32/IMIPE/2017</t>
  </si>
  <si>
    <t>016/IMIPE/2017</t>
  </si>
  <si>
    <t>ELABORACION DE MAQUETA PROMOCIONAL DEL NUEVO PARQUE URBANO UBICADO EN LAS ANTIGUAS INSTALACIONES DE LA FERIA</t>
  </si>
  <si>
    <t>57.30</t>
  </si>
  <si>
    <t>35/IMIPE/2017</t>
  </si>
  <si>
    <t>PROYECTO DE PASO PEATONAL EN EL BOULEVARD ADOLFO LÓPEZ MATEOS, EN CELAYA, GTO.</t>
  </si>
  <si>
    <t>36/IMIPE/2017</t>
  </si>
  <si>
    <t>PROYECTO DE REMODELACIÓN Y AMPLIACIÓN DE LA BIBLIOTECA MUNICIPAL EFRAÍN HUERTA, MUNICIPIO DE CELAYA, GTO.</t>
  </si>
  <si>
    <t>S-038/12</t>
  </si>
  <si>
    <t>PROYECTO EJECUTIVO  DE AMPLIACION DE OFICINAS Y TECHUMBRE DE ESTRUCTURA METALICA DEL TIANGUIS DE LOS DOMINGOS  COL EL VERGEL S-DOP/038-2012</t>
  </si>
  <si>
    <t>10/IMIPE/2013</t>
  </si>
  <si>
    <t>PROYECTO DE REHABILITACIÓN DE LAS CALLES 2DA DE AMÉRICAS, PUEBLO NUEVO Y PENJAMO EN LA COLONIA LAS AMÉRICAS EN EL MUNICIPIO DE CELAYA, GTO.</t>
  </si>
  <si>
    <t>04/IMIPE/2014</t>
  </si>
  <si>
    <t>EJECUCION DE SERVICIOS REFERENTES A ELABORACION DE PROYECTO EJECUTIVO DEL AREA RECREATIVA DENOMINADA "PARQUE HUNDIDO MONTE BLANCO"</t>
  </si>
  <si>
    <t>05/IMIPE/2014</t>
  </si>
  <si>
    <t>ELABORACION DE PROYECTO EJECUTIVO UNION DE PASOS DEPREMIDOS SOBRE AVENIDA TECNOLOGICO Y AVENIDA INSURGENTES PARA ACCESO PEATONAL SOBRE ZONA DE PANTEON MUNICIPAL</t>
  </si>
  <si>
    <t>21/IMIPE/2014</t>
  </si>
  <si>
    <t>PROYECTO EJECUTIVO DE PAVIEMNTO DE CONCRETO HIDRAULICO, GUANICIONES Y BANQUETAS, REHABILITACION DE REDES DE AGUA POTABLE, DRENAJE SANITARIO Y ALUMBRADO PUBLICO, DE LAS CALLES: 1)CALLE ALLENDE (TRAMO: CALLE FRONTERA A CALLE MADERO); 2)CALLE FRANCISCO VILLA (TRAMO:CALLE SOR JUANA INES DE LA CRUZ A CALLE ADOLFO LOPEZ MATEOS) COM. SAN CAYETANO Y 3)CALLE VICENTE GUERRERO (TRAMO: CALLE SOR JUANA INES DE LA CRUZ A CALLE ADOLFO LOPEZ MATEOS), COM. SAN CAYETANO; 4) CALLE VICENTE GUERRERO (TRAMO: CALLE EMETERIA VALENCIA), COM. SAN JOSE EL NUEVO Y 5)BENITO JUAREZ (TRAMO: EXPLANADA DEL TEMPLO A FONDO DE LA CALLE HACIA EL PONIENTE ), COM. SAN NICOLAS DE ESQUIROS, EN EL MUNICIPIO DE CELAYA, GTO.</t>
  </si>
  <si>
    <t>01/IMIPE/2015</t>
  </si>
  <si>
    <t>ACTUALIZACION Y ELABORACION DE MANIFIESTO DE IMPACTO AMBIENTAL FEDERAL MODALIDAD PARTICULAR HIDRAULICA RELATIVO AL PROYECTO PUENTE VEHICULAR SOBRE RIO LAJA EN CAMINO A JOFRE MUNICIPIO DE CELAYA</t>
  </si>
  <si>
    <t>04/IMIPE/2015</t>
  </si>
  <si>
    <t>ELABORACION DE PROYECTO EJECUTIVO PE PAV DE CONC HIDR G Y B RED DE DRENAJE Y AGUA EN LAS CALLES 1) MACEDONIA NIÑO, 2)AV CONSTITUCION, 3) GAVIOTA, 4)MARIA MACHUCA, 5) SAN MIGUEL DE ALLENDE, 6)LAGO DE TEXCOCO</t>
  </si>
  <si>
    <t>57.40</t>
  </si>
  <si>
    <t>11/IMIPE/2015</t>
  </si>
  <si>
    <t>ELABORACIÓN  DE NOTA TÉCNICA PARA LA CONSTRUCCIÓN DEL PUENTE VEHICULAR SOBRE EL RÍO LAJA, EN EL KM 3+570 DEL CAMINO A JOFRE, EN EL MUNICIPIO DE CELAYA, GTO.</t>
  </si>
  <si>
    <t>16/IMIPE/2015</t>
  </si>
  <si>
    <t>PROYECTO DEL NUEVO EDIFICIO DEL DIF</t>
  </si>
  <si>
    <t>18/IMIPE/2015</t>
  </si>
  <si>
    <t>PROYECTO DE IMAGEN URBANA DE LA PLAZA INSURGENTES</t>
  </si>
  <si>
    <t>21/IMIPE/2015</t>
  </si>
  <si>
    <t>“PROYECTO DE REFERENCIA PARA LA RECONFIGURACION DEL EDIFICIO DEL PARQUE BICENTENARIO PARA USO DE BIBLIOTECA Y REHUBICACION DEL CENTRO INTERACTIVO DE CIENCIA Y TECNOLOGIA "LA NAVE", MUNICIPIO DE CELAYA, GTO”</t>
  </si>
  <si>
    <t>31/IMIPE/2017</t>
  </si>
  <si>
    <t>19/IMIPE/2015</t>
  </si>
  <si>
    <t>“PROYECTO DEL PARQUE DEPORTIVO LA CAPILLA, EN LA CIUDAD DE CELAYA, GTO”</t>
  </si>
  <si>
    <t>20/IMIPE/2015</t>
  </si>
  <si>
    <t xml:space="preserve">1) PROYECTO DE PAVIMENTO DE CONCRETO HIDRAULICO, GUARNICIONES Y BANQUETAS DE LA CALLE CD. VICTORIA, TRAMO: DE MEXICALI A CUERNAVACA EN LA COLONIA SANTA RITA NORTE; 2) PROYECTO DE PAVIMENTO DE CONCRETO HIDRAULICO, GUARNICIONES Y BANQUETAS DE LA CALLE TEMIXCO, TRAMO: DE LA AV. ANENECUILCO A LA CALLE XOCHICALCO Y/O PRESA ALVARO OBREGON, EN LA COLONIA TIERRA Y LIBERTAD; 3) PROYECTO DE PAVIMENTO DE CONCRETO HIDRAULICO, GUARNICIONES Y BANQUETAS DE LA CALLE ADELFA, TRAMO: ARRAYANES A 4TA DE CACAO EN LA COLONIA DEL BOSQUE 3RA SECCION; 4) PROYECTO DE PAVIMENTO DE CONCRETO HIDRAULICO, GUARNICIONES Y BANQUETAS DE LAS CALLES RIO COLORADO, TRAMO:  DE RIO BALSAS A RIO SAN FERNANDO, EN LA COLONIA PROGRESO SOLIDARIDAD II, 5) PROYECTO DE PAVIMENTO DE CONCRETO HIDRAULICO, GUARNICIONES Y BANQUETAS DE  LA CALLE FRAY PEDRO DE GANTE, TRAMO: FRAY JUAN DE ZUMARRIAGA A PEDRO QUINO EN COLONIA SANTA BARBARA, EN CELAYA, GTO. </t>
  </si>
  <si>
    <t>NUEVA</t>
  </si>
  <si>
    <t>CONSTRUCCION DE PUENTE SOBRE CANAL DE RIEGO EN LA COMUNIDAD DE SAN ANTONIO GALLARDO (ACCION NUEVA)</t>
  </si>
  <si>
    <t>COMUNIDAD SAN ANTONIO GALLARDO</t>
  </si>
  <si>
    <t>DOP/234/17</t>
  </si>
  <si>
    <t>ALUMBRADO PÚBLICO DE LA CALLE AMPLIACIÓN CORREGIDORA (COMPLEMENTO)</t>
  </si>
  <si>
    <t>COMUNIDAD DE SAN NICOLÁS DE ESQUIROS</t>
  </si>
  <si>
    <t>DOP/233/17</t>
  </si>
  <si>
    <t>ALUMBRADO PÚBLICO DE LA CALLE IGNACIO ALLENDE (COMPLEMENTO)</t>
  </si>
  <si>
    <t>DOP/232/17</t>
  </si>
  <si>
    <t>ALUMBRADO DE LA CALLE FRANCISCO VILLA  (COMPLEMENTO)</t>
  </si>
  <si>
    <t>AMPLIACIÓN DE ESPACIO PÚBLICO, JARDÍN PRINCIPAL (COMPLEMENTO)</t>
  </si>
  <si>
    <t>COMUNIDADEL SAUZ             ( EL SAUZ DE VILLASEÑOR)</t>
  </si>
  <si>
    <t>PGO 8</t>
  </si>
  <si>
    <t>REMANENTES 6</t>
  </si>
  <si>
    <t xml:space="preserve"> Supervision externa de las obras ampliación de espacio publico, jardin principal, localidad El Sauz (El Sauz de villaseñor) y Ampliacion de jardin principalen el Becerro (Santos Degollado)</t>
  </si>
  <si>
    <t xml:space="preserve"> Supervision externa de la obra: Pavimentacion de de la calle 16 de septiembre , Localidad El Becerro</t>
  </si>
  <si>
    <t>REQUIERE AMPLIACION POR $ 58,199.59</t>
  </si>
  <si>
    <t>DOP/245/17</t>
  </si>
  <si>
    <t>LE FALTAN $ 59,165.71 (28/12/17)</t>
  </si>
  <si>
    <t>S-DOP-022/17</t>
  </si>
  <si>
    <t>S-DOP-024/17</t>
  </si>
  <si>
    <t>S-DOP-025/17</t>
  </si>
  <si>
    <t>S-DOP-026/17</t>
  </si>
  <si>
    <t>DOP/248/17</t>
  </si>
  <si>
    <t>1.15.2.3</t>
  </si>
  <si>
    <t>DOP/249/17</t>
  </si>
  <si>
    <t>Construccion de un cuarto adicional en la Col. Labradores Municipio de Celaya</t>
  </si>
  <si>
    <t>DOP/137/17</t>
  </si>
  <si>
    <t>ELECTRIFICACIÓN DE LA CALLE INSURGENTES</t>
  </si>
  <si>
    <t xml:space="preserve">COMUNIDAD DE PRIMERA FRACCIÓN DE CRESPO (EL MOLINO) </t>
  </si>
  <si>
    <t>REQUIERE RECURSOS POR $ 17,628.65</t>
  </si>
  <si>
    <t>DOP/040/17</t>
  </si>
  <si>
    <t>PAVIMENTACIÓN DE LA CALLE  OLMO  DE LA COL. ARBOLEDAS DE SAN MARTÍN DE CAMARGO (COL. SAN MARTIN CAMARGO)</t>
  </si>
  <si>
    <t>COLONIA SAN MARTÍN DE CAMARGO</t>
  </si>
  <si>
    <t>REQUIERE RECURSOS POR $ 244,954.66</t>
  </si>
  <si>
    <t>Convenio de ampliacion por $ 245,690.8 (28/12/17)</t>
  </si>
  <si>
    <t>REQUIERE SUFICIENCIA POR $ 175,136.84 (28/12/17)</t>
  </si>
  <si>
    <t>Ok Convenio de ampliacion $ 192,577.00 (29/12/17)</t>
  </si>
  <si>
    <t>DOP/246/17</t>
  </si>
  <si>
    <t>DOP/247/17</t>
  </si>
  <si>
    <t>Falta presupuesto por $ 57,891.70 (28/12/17)        Convenio de ampliacion por $ 20,612.16</t>
  </si>
  <si>
    <t>DOP/241/17</t>
  </si>
  <si>
    <r>
      <t xml:space="preserve">Camellón y Semaforos Liverpol- Glorieta Fundadores: </t>
    </r>
    <r>
      <rPr>
        <sz val="12"/>
        <color rgb="FFFF0000"/>
        <rFont val="Arial"/>
        <family val="2"/>
      </rPr>
      <t>Camellón, ciclovía y andador en Eje Nor Oriente, tramo Constituyentes - La Cano</t>
    </r>
  </si>
  <si>
    <t>S-DOP/027/17</t>
  </si>
  <si>
    <t>DOP/242/17</t>
  </si>
  <si>
    <t>CONVENIO DE AMPLIACION $ 69,000.00 (28/12/17) ok</t>
  </si>
  <si>
    <t>CONVENIO DE AMPLIACION $ 20,486.88 (28/12/17) ok</t>
  </si>
  <si>
    <t>ok</t>
  </si>
  <si>
    <t>* DISMINUYE EN $ 5,504.17 PORQUE ESTA SOLICITANDO MAS ANTICIPO Y SE MODIFICO  EL FINANCIAMIENTO</t>
  </si>
  <si>
    <t>Convenio de ampliacion por $ 388,169.4</t>
  </si>
  <si>
    <t>Convenio de ampliacion por $ 347,140.73</t>
  </si>
  <si>
    <t xml:space="preserve"> Supervision externa de la obra: Comandancia de policias en la Localidad de San Juan de la Vega, en el Municipio de Celaya, Gto.</t>
  </si>
  <si>
    <t xml:space="preserve"> Supervision externa de la obra: Pavimentacion de la Calle Aurelio Bonilla  en la Colonia Ampliacion Emiliano Zapata, en el Municipio de Celaya, Gto.,</t>
  </si>
  <si>
    <t>S-DOP-028/17</t>
  </si>
  <si>
    <t>repetida</t>
  </si>
  <si>
    <t>S-DOP-029/17</t>
  </si>
  <si>
    <t>Convenio de ampliacion $ 426,624.21+ 173,400.12= $ 600,024.33</t>
  </si>
  <si>
    <t>DOP/239/17</t>
  </si>
  <si>
    <t>S-DOP-028-2017</t>
  </si>
  <si>
    <t>checar ejercidos creo que son  aportacion ???</t>
  </si>
  <si>
    <t>CHECAR</t>
  </si>
  <si>
    <t>Coordinador</t>
  </si>
  <si>
    <t>ARQ. MIGUEL GERARDO FLORES SEGURA</t>
  </si>
  <si>
    <t>ARQ. MARIA VERÓNICA TORRES PEREZ</t>
  </si>
  <si>
    <t>ARQ. MARIA VERONICA TORRES PEREZ</t>
  </si>
  <si>
    <t>ING. CARLOS MORELOS GARCIA</t>
  </si>
  <si>
    <t>ARQ. ALEJANDRO MERINO MARTINEZ</t>
  </si>
  <si>
    <t>S-DOP-014/17</t>
  </si>
  <si>
    <t>mercado cañitos 183/17, lunes 184/17 , Sabes (Dicosesa 119/16) y  038/12 para el cierre</t>
  </si>
  <si>
    <t>sabes regresara el dinero para pagar a contratista</t>
  </si>
  <si>
    <t>JUMAPA-CELAYA-OP-2017-49</t>
  </si>
  <si>
    <t>JUMAPA-CELAYA-OP-2017-53</t>
  </si>
  <si>
    <t>JUMAPA-CELAYA-OP-2017-55</t>
  </si>
  <si>
    <t>JUMAPA-CELAYA-OP-2017-57</t>
  </si>
  <si>
    <t>JUMAPA-CELAYA-OP-2017-54</t>
  </si>
  <si>
    <t>CONVENIO SEDESHU-GTO-PISBCC-CFE-07/2017</t>
  </si>
  <si>
    <t xml:space="preserve">CONVENIO CEAG-CELAYA-AGUA LIMPIA-2017-114 </t>
  </si>
  <si>
    <t>reclasificacion contrato 168/17,188/17 y 134/16</t>
  </si>
  <si>
    <t>SE AUTORIZA DISMINUCION EN EL CIERRE</t>
  </si>
  <si>
    <t>01/IMIPE/2017</t>
  </si>
  <si>
    <t>02/IMIPE/2017</t>
  </si>
  <si>
    <t>03/IMIPE/2017</t>
  </si>
  <si>
    <t>04/IMIPE/2017</t>
  </si>
  <si>
    <t>05/IMIPE/2017</t>
  </si>
  <si>
    <t>06/IMIPE/2017</t>
  </si>
  <si>
    <t>07/IMIPE/2017</t>
  </si>
  <si>
    <t>08/IMIPE/2017</t>
  </si>
  <si>
    <t>10/IMIPE/2017</t>
  </si>
  <si>
    <t>11/IMIPE/2017</t>
  </si>
  <si>
    <t>12/IMIPE/2017</t>
  </si>
  <si>
    <t>13/IMIPE/2017</t>
  </si>
  <si>
    <t>14/IMIPE/2017</t>
  </si>
  <si>
    <t>15/IMIPE/2017</t>
  </si>
  <si>
    <t>19/IMIPE/2016</t>
  </si>
  <si>
    <t>17/IMIPE/2017</t>
  </si>
  <si>
    <t>22/IMIPE/2017</t>
  </si>
  <si>
    <t>23/IMIPE/2017</t>
  </si>
  <si>
    <t>29/IMIPE/2017</t>
  </si>
  <si>
    <t>30/IMIPE/2017</t>
  </si>
  <si>
    <t>37/IMIPE/2017</t>
  </si>
  <si>
    <t>34/IMIPE/2017</t>
  </si>
  <si>
    <t>10/IMIPE/2016</t>
  </si>
  <si>
    <t>SE AUTORIZA EN CIERRE</t>
  </si>
  <si>
    <t>REGISTRO MAL EN TESORERIA</t>
  </si>
  <si>
    <r>
      <t xml:space="preserve">Convenio de ampliacion $ 100,000 </t>
    </r>
    <r>
      <rPr>
        <b/>
        <sz val="12"/>
        <color rgb="FFFF0000"/>
        <rFont val="Arial"/>
        <family val="2"/>
      </rPr>
      <t>REGISTRO MAL EN TESORERIA</t>
    </r>
  </si>
  <si>
    <t>SE AUTORIZA EN EL CIERRE ok</t>
  </si>
  <si>
    <t>SE AUTORIZA EN CIERRE ok</t>
  </si>
  <si>
    <t>Convenio de Reduccion $ 39,560.84 (02/02/18)</t>
  </si>
  <si>
    <t>Convenio de Reduccion $ 32,720.22 (02/02/18)</t>
  </si>
  <si>
    <t>REQUIERE $ 11,871.03 (02/02/18)</t>
  </si>
  <si>
    <t>Solicitan un adicional de $ 50,000 (02/02/18)</t>
  </si>
  <si>
    <t>REQUIERE SUFICIENCIA POR $ 524,939.83 (28/12/17)</t>
  </si>
  <si>
    <t>requiere  75,000+11,483.42= 86,483.42</t>
  </si>
  <si>
    <t>VA A REQUERIR RECURSOS? NO HAN PASADO AMPLIACION</t>
  </si>
  <si>
    <t>MOVIMIENTOS DE CIERRE</t>
  </si>
  <si>
    <t>SUFICIENCIA PRESUPUESTAL POR $ 50,000.00</t>
  </si>
  <si>
    <t>DISMINUYEN $5,878.71 PARA DAR SUFICIENCIA A OTRAS ACCIONES</t>
  </si>
  <si>
    <t>SUFICIENCIA PRESUPUESTAL POR $ 2,136.75</t>
  </si>
  <si>
    <t>SUFICIENCIA PRESUPUESTAL POR $ 20,331.46</t>
  </si>
  <si>
    <t>FINIQUITADAS</t>
  </si>
  <si>
    <t>SUFICIENCIA PRESUPUESTAL POR $ 84,985.81</t>
  </si>
  <si>
    <t>SUFICIENCIA PRESUPUESTAL POR $ 175,136.84</t>
  </si>
  <si>
    <t>SUFICIENCIA PRESUPUESTAL POR $ 57,891.70</t>
  </si>
  <si>
    <t>DISMINUYEN $ 8,481.06 PARA DAR SUFICIENCIA A OTRAS ACCIONES</t>
  </si>
  <si>
    <t>DISMINUYEN $ 156,091.75 PARA DAR SUFICIENCIA A OTRAS ACCIONES</t>
  </si>
  <si>
    <t>DISMINUYEN $ 23,861.74 PARA DAR SUFICIENCIA A OTRAS ACCIONES</t>
  </si>
  <si>
    <t>DISMINUYEN $ 20,130.27 PARA DAR SUFICIENCIA A OTRAS ACCIONES</t>
  </si>
  <si>
    <t>DISMINUYEN $ 67,328.88 PARA DAR SUFICIENCIA A OTRAS ACCIONES</t>
  </si>
  <si>
    <t>DISMINUYEN $ 11,029.13 PARA DAR SUFICIENCIA A OTRAS ACCIONES</t>
  </si>
  <si>
    <t>DISMINUYEN $ 21,146.19 PARA DAR SUFICIENCIA A OTRAS ACCIONES</t>
  </si>
  <si>
    <t>SE DA SUFICIENCIA DE ACCIONES JUMAPA $ 105,601.74</t>
  </si>
  <si>
    <t>SE DA SUFICIENCIA DE ACCIONES JUMAPA $ 1' 029,659.77</t>
  </si>
  <si>
    <t>DISMINUYEN $ 1' 323,483.21 PARA DAR SUFICIENCIA A OTRAS ACCIONES</t>
  </si>
  <si>
    <t>SE DA SUFICIENCIA DE ACCIONES JUMAPA $ 188,221.7</t>
  </si>
  <si>
    <t>REQUIERE SUFICIENCIA POR $ 17,261.81 (09/02/18)</t>
  </si>
  <si>
    <t>SUFICIENCIA PRESUPUESTAL POR $ 12,637.62</t>
  </si>
  <si>
    <t>DISMINUYEN $ 89,171.73 PARA DAR SUFICIENCIA A OTRAS ACCIONES</t>
  </si>
  <si>
    <t>FFM</t>
  </si>
  <si>
    <t>LE FALTAN $ 335,330.33</t>
  </si>
  <si>
    <t>LE FALTAN $ 59,165.71</t>
  </si>
  <si>
    <t>ALUMBRADO PASEO DE SAN NICOLAS DE PARRA  (TRAMO MONTE TAURO- AV. UNIVERSIDAD),COL. ARBOLEDAS DE SAN RAFAEL</t>
  </si>
  <si>
    <t>ASIGNAR PRESUPUESTO $ 287,616.01</t>
  </si>
  <si>
    <t>SALDO FFM 2017</t>
  </si>
  <si>
    <t>SALDO FFM 2016</t>
  </si>
  <si>
    <t>DISMINUYEN $ 2,006.52 PARA DAR SUFICIENCIA A OTRAS ACCIONES</t>
  </si>
  <si>
    <t>DISMINUYEN $ 2,563.47 PARA DAR SUFICIENCIA A OTRAS ACCIONES</t>
  </si>
  <si>
    <t>DISMINUYEN $ 136,924.87 PARA DAR SUFICIENCIA A OTRAS ACCIONES</t>
  </si>
  <si>
    <t>DISMINUYEN $ 2,983.22 PARA DAR SUFICIENCIA A OTRAS ACCIONES</t>
  </si>
  <si>
    <t>DISMINUYEN $ 161,122.06 PARA DAR SUFICIENCIA A OTRAS ACCIONES</t>
  </si>
  <si>
    <t>DISMINUYEN $ 43,522.46 PARA DAR SUFICIENCIA A OTRAS ACCIONES</t>
  </si>
  <si>
    <t>DISMINUYEN $ 107.97 PARA DAR SUFICIENCIA A OTRAS ACCIONES</t>
  </si>
  <si>
    <t>DISMINUYEN $ 244,847.17 PARA DAR SUFICIENCIA A OTRAS ACCIONES</t>
  </si>
  <si>
    <t>SUFICIENCIA PRESUPUESTAL POR $ 59,165.71</t>
  </si>
  <si>
    <t>DISMINUYEN $ 19,129.75 PARA DAR SUFICIENCIA A OTRAS ACCIONES</t>
  </si>
  <si>
    <t>CHECAR CON VERO  NO REQUIERE PTO??</t>
  </si>
  <si>
    <t>DISMINUYEN $ 37,517.51 PARA DAR SUFICIENCIA A OTRAS ACCIONES</t>
  </si>
  <si>
    <t>DISMINUYEN $ 89,012.09 PARA DAR SUFICIENCIA A OTRAS ACCIONES</t>
  </si>
  <si>
    <t>SUFICIENCIA PRESUPUESTAL POR $ 71,020.67</t>
  </si>
  <si>
    <t>SUFICIENCIA PRESUPUESTAL POR $ 287,616.01</t>
  </si>
  <si>
    <t>SUFICIENCIA PRESUPUESTAL POR $ 11,871.03</t>
  </si>
  <si>
    <t>DISMINUYEN $ 52,402.88 PARA DAR SUFICIENCIA A OTRAS ACCIONES</t>
  </si>
  <si>
    <t>DISMINUYEN $ 3,893.89 PARA DAR SUFICIENCIA A OTRAS ACCIONES</t>
  </si>
  <si>
    <t>DISMINUYEN $ 53,336.82 PARA DAR SUFICIENCIA A OTRAS ACCIONES</t>
  </si>
  <si>
    <t>DISMINUYEN $ 40,154.65 PARA DAR SUFICIENCIA A OTRAS ACCIONES</t>
  </si>
  <si>
    <t>SUFICIENCIA PRESUPUESTAL POR $ 222,433.06</t>
  </si>
  <si>
    <t>ALUMBRADO DE LA CALLE FRANCISCO VILLA</t>
  </si>
  <si>
    <t>ALUMBRADO PÚBLICO DE LA CALLE IGNACIO ALLENDE</t>
  </si>
  <si>
    <t>ALUMBRADO PÚBLICO DE LA CALLE AMPLIACIÓN CORREGIDORA</t>
  </si>
  <si>
    <t>DOP/136/17</t>
  </si>
  <si>
    <t>ELECTRIFICACIÓN DE LA CALLE GUADALUPE TRAMO: ÁLVARO OBREGÓN A PARCELAS</t>
  </si>
  <si>
    <t>ELECTRIFICACIÓN DE LA CALLE INSURGENTES COMUNIDAD PRIMERA FRACCION DE CRESPO (EL MOLINO)</t>
  </si>
  <si>
    <r>
      <t>REHABILITACIÓN DE CAMELLON, CRUCE</t>
    </r>
    <r>
      <rPr>
        <sz val="9"/>
        <color rgb="FFFF0000"/>
        <rFont val="Arial"/>
        <family val="2"/>
      </rPr>
      <t xml:space="preserve"> </t>
    </r>
    <r>
      <rPr>
        <sz val="9"/>
        <color theme="1"/>
        <rFont val="Arial"/>
        <family val="2"/>
      </rPr>
      <t>PEATONAL EN LA AV. HEROICO COLEGIO MILITAR,  COL. JARDINES DE CELAYA</t>
    </r>
  </si>
  <si>
    <t xml:space="preserve">DOP/235/17 </t>
  </si>
  <si>
    <t>PAVIMENTACIÓN DE LA CALLE LA SAUCEDA</t>
  </si>
  <si>
    <t>SE ADECUA NOMBRE DE ACUERDO A CONVENIO CON FINANZAS</t>
  </si>
  <si>
    <t>SE ADECUA NOMBRE DE ACUERDO A CONVENIO CON FINANZAS…. SOLO SE HAN CONVENIDO A LA FECHA $ 1'400,000.00 FALLO Y ADJUDICACIÓN 23 DE FEBRERO</t>
  </si>
  <si>
    <r>
      <rPr>
        <strike/>
        <sz val="8"/>
        <rFont val="Arial"/>
        <family val="2"/>
      </rPr>
      <t xml:space="preserve">XOCHIPILLI  TERCERA ETAPA: PROYECTO DE ELECTRIFICACION, MUSEOGRAFIA E INSTALACIONES Y ADAPTACION DEL MUSEO LA BOLA </t>
    </r>
    <r>
      <rPr>
        <sz val="8"/>
        <rFont val="Arial"/>
        <family val="2"/>
      </rPr>
      <t>INSTALACION ELECTRICA Y MUSEOGRAFIA EN PARQUE XOCHIPILLI</t>
    </r>
  </si>
  <si>
    <r>
      <rPr>
        <strike/>
        <sz val="8"/>
        <rFont val="Arial"/>
        <family val="2"/>
      </rPr>
      <t>CRUCE A NIVEL SOBRE LAS VIAS DEL EJE SUR ORIENTE</t>
    </r>
    <r>
      <rPr>
        <sz val="8"/>
        <rFont val="Arial"/>
        <family val="2"/>
      </rPr>
      <t xml:space="preserve"> CONCLUIR AL CRUCE CON LA VÍA DEL TREN EN EL EJE SUR ORIENTE</t>
    </r>
  </si>
  <si>
    <t>COMUNIDAD / COLONIA</t>
  </si>
  <si>
    <t>COMENTARIOS</t>
  </si>
  <si>
    <t>Otras Fuentes de Financiamiento (OFF) (Municipal) / Otros (*)</t>
  </si>
  <si>
    <t>REHABILITACIÓN DE CAMINOS EN LAS COMUNIDADES DE: SAN ELIAS CAMINO 1, 2 Y 3.- SANTA TERESA CAMINO 1 Y 2, SAN ISIDRO DE ELGUERA CAMINO 1 Y 2, EJIDO DE ROQUE, MÓDULO DEL MARGEN DERECHO DREN NEUTLA Y PRINCIPAL, SAN ANTONIO ESPINOZA, SAN NICOLÁS ESQUIROS, SAN JUAN DE LA VEGA, TRES PUENTES, 2DA CRESPO, SAN JOSÉ DE LA PRESA-LA AURORA, SAN JUAN DE LA VEGA (CAMINO SENOSIAN) CAMINO 1 Y 2, SAN JUAN DE LA VEGA (POR LA VÍA), ELGUERA, EL SAÚZ DE VILLASEÑOR Y EL PUESTO (COMUNIDAD AL PANTEÓN), OJO SECO A PARCELAS LADO SUR, OJO HACIA EL CERRO NO. 1, OJO SECO PARCELARIO, SAN CAYETANO, TENERÍA DREN PRINCIPAL, CAMARGO A SAN LUIS REY</t>
  </si>
  <si>
    <t>CONVENIO CON FINANZAS</t>
  </si>
  <si>
    <t>SE AJUSTA MONTO ENTRE BIBLIOTECAS INCREMENTANDO $ 20,331.46</t>
  </si>
  <si>
    <t>SE AJUSTA MONTO ENTRE BIBLIOTECAS DISMINUYENDO $ 16,202.35</t>
  </si>
  <si>
    <t>SE AJUSTA MONTO ENTRE BIBLIOTECAS DISMINUYENDO $ 12,077.83</t>
  </si>
  <si>
    <t>SE AJUSTA MONTO ENTRE BIBLIOTECAS INCREMENTANDO $ 230.15</t>
  </si>
  <si>
    <t>SE AJUSTA MONTO ENTRE BIBLIOTECAS INCREMENTANDO $ 10,852.13</t>
  </si>
  <si>
    <t>SE AJUSTA MONTO ENTRE BIBLIOTECAS DISMINUYENDO $ 3,133.56</t>
  </si>
  <si>
    <t>DISMINUYEN $ 99,237.75 PARA DAR SUFICIENCIA A OTRAS ACCIONES</t>
  </si>
  <si>
    <t>SUFICIENCIA PRESUPUESTAL POR $ 22,703.64</t>
  </si>
  <si>
    <t>SE CAMBIA PARTE DEL CONTRATO A  MUNICIPAL 2016 $ 3'820,639.70</t>
  </si>
  <si>
    <t xml:space="preserve"> Construcción barda(tramo).- Secundaria Técnica No. 37 </t>
  </si>
  <si>
    <r>
      <t>Construccion de una comandancia compacta en la zona urbana (Av. Las Torres)</t>
    </r>
    <r>
      <rPr>
        <sz val="14"/>
        <rFont val="Calibri"/>
        <family val="2"/>
        <scheme val="minor"/>
      </rPr>
      <t xml:space="preserve"> (Complemento)</t>
    </r>
  </si>
  <si>
    <t>NO LLEGO RECURSO SE CANCELA?</t>
  </si>
  <si>
    <t>SE CAMBIA TOTAL DEL CONTRATO A MUNICIPAL 2016 POR $ 2' 755,152.83 Y LA DIFERENCIA DE $ 244,847.17  DISMINUYE PARA DAR SUFICIENCIA A OTRAS ACCIONES</t>
  </si>
  <si>
    <t>SE CAMBIA PARTE DEL CONTRATO DE MUNICIPAL 2016 POR LA CANTIDAD DE $ 6' 575,792.53</t>
  </si>
  <si>
    <t>SE AJUSTA A MONTO DEL ANEXO DE EJECUCION. DISMINUYE $ 10,972.50</t>
  </si>
  <si>
    <t>ANEXO 005 (PDR) EJECUTA SOP</t>
  </si>
  <si>
    <r>
      <t xml:space="preserve">Ampliación de la Red de Agua Potable en varias calles (Doctores, Ingenieros, Fresno, Arquitectos, Quimicos, La Palma, Observatorio, Topografos, La Esperanza, Tulipán, Zamora, Guadalupe, Miguel Hidalgo y Calle Sin Nombre)  </t>
    </r>
    <r>
      <rPr>
        <strike/>
        <sz val="14"/>
        <rFont val="Calibri"/>
        <family val="2"/>
        <scheme val="minor"/>
      </rPr>
      <t xml:space="preserve"> </t>
    </r>
    <r>
      <rPr>
        <sz val="14"/>
        <rFont val="Calibri"/>
        <family val="2"/>
        <scheme val="minor"/>
      </rPr>
      <t>en la Comunidad Santos Degollado (El Becerro) Zona Norte (PISBCC)</t>
    </r>
  </si>
  <si>
    <r>
      <t xml:space="preserve">Ampliación de la Red de Drenaje Sanitario en varias calles (Doctores, Ingenieros, Fresno, Arquitectos, Quimicos, La Palma, Observatorio, Topografos, La Esperanza, Tulipan, Zamora, Guadalupe, Miguel Hidalgo y Calle Sin Nombre) </t>
    </r>
    <r>
      <rPr>
        <strike/>
        <sz val="14"/>
        <rFont val="Calibri"/>
        <family val="2"/>
        <scheme val="minor"/>
      </rPr>
      <t xml:space="preserve"> </t>
    </r>
    <r>
      <rPr>
        <sz val="14"/>
        <rFont val="Calibri"/>
        <family val="2"/>
        <scheme val="minor"/>
      </rPr>
      <t xml:space="preserve"> en la Comunidad Santos Degollado (El Becerro) Zona Norte (PIDMC)</t>
    </r>
  </si>
  <si>
    <r>
      <t xml:space="preserve">AREA RURAL </t>
    </r>
    <r>
      <rPr>
        <b/>
        <sz val="14"/>
        <rFont val="Calibri"/>
        <family val="2"/>
        <scheme val="minor"/>
      </rPr>
      <t>50% ZAP Y 50% CON CUIS</t>
    </r>
  </si>
  <si>
    <t xml:space="preserve">Programa de Mejoramiento de Vivienda (IMUVI) </t>
  </si>
  <si>
    <t>SAN MARTIN CAMARGO</t>
  </si>
  <si>
    <t>PAVIMENTACIÓN DE LA CALLE  OLMO  DE LA COL. ARBOLEDAS DE SAN MARTÍN DE CAMARGO (COL. SAN MARTIN CAMARGO) (COMPLEMENTO)</t>
  </si>
  <si>
    <t>SUFICIENCIA PRESUPUESTAL POR $ 244,954.66</t>
  </si>
  <si>
    <t>SUFICIENCIA PRESUPUESTAL POR $ 276,655.09</t>
  </si>
  <si>
    <t>S-DOP-023-2017</t>
  </si>
  <si>
    <t>SUFICIENCIA PRESUPUESTAL POR $ 83,339.74</t>
  </si>
  <si>
    <t>DISMINUYEN $ 11,258.44 PARA DAR SUFICIENCIA A OTRAS ACCIONES</t>
  </si>
  <si>
    <t>DISMINUYEN $ 14,189.60 PARA DAR SUFICIENCIA A OTRAS ACCIONES</t>
  </si>
  <si>
    <r>
      <t xml:space="preserve">Construcción de Techumbre en cancha de usos múltiples.- CETIS 115 de Av. México-Japón </t>
    </r>
    <r>
      <rPr>
        <sz val="14"/>
        <color rgb="FF00B0F0"/>
        <rFont val="Calibri"/>
        <family val="2"/>
        <scheme val="minor"/>
      </rPr>
      <t>(*)</t>
    </r>
  </si>
  <si>
    <t>SE CANCELA EN CIERRE?</t>
  </si>
  <si>
    <t>SE CANCELA EN CIERRE??</t>
  </si>
  <si>
    <t xml:space="preserve">Comunidad El Becerro </t>
  </si>
  <si>
    <t>SE CANCELA SALDO POR CIERRE $523.81</t>
  </si>
  <si>
    <t>CIERRE DE EJERCICIO</t>
  </si>
  <si>
    <t>DISMINUYE $ 193,843.19 POR CIERRE</t>
  </si>
  <si>
    <t xml:space="preserve">CONVENIO CON FINANZAS </t>
  </si>
  <si>
    <t>Rehabilitación de caminos en las comunidades de: San Elías camino 1, 2 Y3.- Santa Teresa camino 1 y 2, San Isidro de Elguera Camino 1 y 2, Ejido de Roque, módulo del margen derecho Oren Neutla y Principal, San Antonio Espinoza, San Nicolás Esquiros, SanJuan de la Vega, Tres Puentes, 2da.Crespo, San José de la Presa-La Aurora, San Juan de la Vega (camino Senosian) camino 1 y 2, San Juan de la Vega (por la vía), Elguera, El Saúz de Villaseñor y El Puesto (comunidad al panteón), Ojo Seco a parcelas lado sur, Ojo hacia el cerro No 1, Ojo Seco Parcelario, San Cayetano, Tenería dren principal, Camargo a San Luis Rey.</t>
  </si>
  <si>
    <t>Comunidades Varias</t>
  </si>
  <si>
    <t>Instalación eléctrica y museografía para el Parque Xochipilli.</t>
  </si>
  <si>
    <t xml:space="preserve">Concluir el Cruce  con la vía del tren en el Eje Sur Oriente (Proyecto Cruce a nivel localizado en el Km Nb-64+683.77 de la vía férrea a  Acámbaro- Empalme Escobedo del Distrito de Celaya de la División Pacífico de la Empresa Kansas City Southern de México, con el Eje Sur Oriente para servicio del Municipio de Celaya, Gto). </t>
  </si>
  <si>
    <t>YA NO SE OCUPO POR FALTA DE DISPONIBILIDAD PRESUPUESTAL</t>
  </si>
  <si>
    <t>77 ACCIONES AL 100%</t>
  </si>
  <si>
    <t>149 ACCIONES</t>
  </si>
  <si>
    <t>MUNCIPIO DE CELAYA. GTO.</t>
  </si>
  <si>
    <t>FONDO DE APORTACIONES PARA LA INFRAESTRUCTURA SOCIAL MPAL.</t>
  </si>
  <si>
    <t>OBRA O ACCIÓN A REALIZAR</t>
  </si>
  <si>
    <t>COSTO</t>
  </si>
  <si>
    <t>LOCALIDAD</t>
  </si>
  <si>
    <t>MUNICIPIO</t>
  </si>
  <si>
    <t>ENTIDAD</t>
  </si>
  <si>
    <t>BENEFICIARIOS</t>
  </si>
  <si>
    <t>MONTO AUTORIZADO FAISM 2018</t>
  </si>
  <si>
    <t>IMUVI MEJORAMIENTO DE VIVIENDA SUR PONIENTE SANTA MARÍA DEL REFUGIO</t>
  </si>
  <si>
    <t>IMUVI MEJORAMIENTO DE VIVIENDA SUR PONIENTE SAN JOSE DE GUANAJUATO</t>
  </si>
  <si>
    <t>IMUVI MEJORAMIENTO DE VIVIENDA SUR PONIENTE SEGUNDA DE CRESPO</t>
  </si>
  <si>
    <t>IMUVI MEJORAMIENTO DE VIVIENDA SUR PONIENTE JUAN MARTIN</t>
  </si>
  <si>
    <t>IMUVI MEJORAMIENTO DE VIVIENDA SUR PONIENTE COLONIA LOS LAGOS</t>
  </si>
  <si>
    <t>IMUVI MEJORAMIENTO DE VIVIENDA SUR PONIENTE COLONIA SAN RAFAEL</t>
  </si>
  <si>
    <t>TECHADO DE CANCHA DE USOS MULTIPLES EN LA ESCUELA PRIMARIA ROSARIO CASTELLANOS EN PRESA BLANCA</t>
  </si>
  <si>
    <t>TECHADO EN CANCHA DE LA TELESECUNDARIA SETENTA Y CUATRO EN SAN JOSE DE GUANAJUATO</t>
  </si>
  <si>
    <t>CONSTRUCCION DE CUARTOS DORMITORIO EN LA COMUNIDAD DE EL BECERRO SANTOS DEGOLLADO MUNICIPIO DE CELAYA GTO</t>
  </si>
  <si>
    <t>CONSTRUCCION DE CUARTOS DORMITORIO EN LA COMUNIDAD DE SAN ISIDRO DE CRESPO MUNICIPIO DE CELAYA GTO</t>
  </si>
  <si>
    <t>CONSTRUCCION REPOSICION DE POZO PROFUNDO CEAG</t>
  </si>
  <si>
    <t>CONSTRUCCION DE CUARTOS DORMITORIO EN LA COMUNIDAD DE ROQUE MUNICIPIO DE CELAYA GTO</t>
  </si>
  <si>
    <t>CONSTRUCCION DE CUARTOS DORMITORIO EN LA COMUNIDAD SANTA MARIA DEL REFUGIO MUNICIPIO DE CELAYA GTO</t>
  </si>
  <si>
    <t>CONSTRUCCION DE CUARTOS DORMITORIO EN LA COMUNIDAD RINCON DE TAMAYO MUNICIPIO DE CELAYA GTO</t>
  </si>
  <si>
    <t>ALUMBRADO PUBLICO EN LA CALLE DE SAN NICOLAS DE PARRA TRAMO AV UNIVERSIDAD A CALLE SAN RAFAEL</t>
  </si>
  <si>
    <t>REHABILITACION DE CAMINO RURAL A BASE DE CONCRETO ASFALTICO A LA COMUNIDAD DE SAN RAFAEL DE YUSTIS TRAMO CARR CELAYA JUVENTINO ROSAS A LA CO</t>
  </si>
  <si>
    <t>REHABILITACION DE CAMINO RURAL A BASE DE CARPETA DE CONCRETO ASFALTICO A LA COMUNIDAD SAN LUIS REY TRAMO AV TECNOLOGICO A LA COMUNIDAD DE CA</t>
  </si>
  <si>
    <t>REHABILITACION DE CAMINO RURAL A BASE DE CARPETA DE CONCRETO ASFALTICO DE COMUNIDAD SAN MIGUEL OCTOPAN AL RIO</t>
  </si>
  <si>
    <t>REHABILITACION DE CAMINO RURAL A BASE DE CARPETA DE CONCRETO ASFALTICO A LA COMUNIDAD GASCA TRAMO CARR CELAYA JUVENTINO ROSAS A COM DE GASCA</t>
  </si>
  <si>
    <t>REHABILITACION DE CAMINO RURAL A BASE DE CARPETA ASFALTICA A LA COMUNIDAD JUAN MARTIN TRAMO PUENTE DEL LIBRAMIENTO SUR A LA COMUNIDAD DE JUA</t>
  </si>
  <si>
    <t>AMPLIACION DE RED DE DISTRIBUCION DE ENERGIA ELECTRICA CALLE CAMINO AL LLANO Y SIN NOMBRE</t>
  </si>
  <si>
    <t>AMPLIACION DE RED DE DISTRIBUCION DE ENERGIA ELECTRICA CALLE PROGRESO Y DIECISEIS DE SEPTIEMBRE</t>
  </si>
  <si>
    <t>AMPLIACION DE RED DE DISTRIBUCION DE ENERGIA ELECTRICA CALLE PROLONGACION AV LAS TORRES</t>
  </si>
  <si>
    <t>AMPLIACION DE LA RED DE DISTRIBUCION DE ENERGIA ELECTRICA CALLE PRIVADA LAGO COYUCA</t>
  </si>
  <si>
    <t>AMPLIACION DE RED DE DISTRIBUCION DE ENERGIA ELECTRICA CALLE RIO LAJA</t>
  </si>
  <si>
    <t>AMPLIACION DE RED DE DISTRIBUCION DE ENERGIA ELECTRICA CALLE BENITO JUAREZ</t>
  </si>
  <si>
    <t>AMPLIACION DE RED DE DISTRIBUCION DE ENERGIA ELECTRICA CALLES MORELOS Y ACAPULCO</t>
  </si>
  <si>
    <t>AMPLIACION DE RED DE DISTRIBUCION DE ENERGIA ELECTRICA CALLE PRIVADA DE ALLENDE</t>
  </si>
  <si>
    <t>AMPLIACION DE RED DE DISTRIBUCION DE ENERGIA ELECTRICA CALLE CAMINO A LA GAVIA</t>
  </si>
  <si>
    <t>AMPLIACION DE RED DE DISTRIBUCION DE ENERGIA ELECTRICA CALLE MIGUEL HIDALGO</t>
  </si>
  <si>
    <t>AMPLIACION DE LINEA Y RED DE DISTRIBUCION DE ENERGIA ELECTRICA CALLE PRIVADA ARBOLADA</t>
  </si>
  <si>
    <t>AMPLIACION DE RED DE DISTRIBUCION DE ENERGIA ELECTRICA CALLE PINOS</t>
  </si>
  <si>
    <t>AMPLIACION DE RED DE DISTRIBUCION DE ENERGIA ELECTRICA EN AVENIDA PRINCIPAL Y CALLE PRIVADA ALAMOS</t>
  </si>
  <si>
    <t>AMPLIACION DE RED DE DISTRIBUCION DE ENERGIA ELECTRICA EN AVENIDA PRINCIPAL Y CALLE PRIVADA MIGUEL HIDALGO</t>
  </si>
  <si>
    <t>AMPLIACION DE RED DE DISTRIBUCION DE ENERGIA ELECTRICA DE COLONIA LA CANTERA</t>
  </si>
  <si>
    <t>AMPLIACION DE RED DE DISTRIBUCION DE ENERGIA ELECTRICA CALLE MELCHOR OCAMPO</t>
  </si>
  <si>
    <t>AMPLIACION DE RED DE DISTRIBUCION DE ENERGIA ELECTRICA CALLE ADOLFO LOPEZ MATEOS</t>
  </si>
  <si>
    <t>AMPLIACION DE RED DE DISTRIBUCION DE ENERGIA ELECTRICA CALLE LOS INSURGENTES</t>
  </si>
  <si>
    <t>AMPLIACION DE RED DE DISTRIBUCION DE ENERGIA ELECTRICA CALLES MANANTIAL VTE DE NOVIEMBRE DEL ARROYO Y DOCE DE OCTUBRE</t>
  </si>
  <si>
    <t>AMPLIACION DE RED DE DISTRIBUCION DE ENERGIA ELECTRICA CALLE ALTAMIRANO Y PRIMERA Y SEGUNDA PRIVADA ALTAMIRANO</t>
  </si>
  <si>
    <t>AMPLIACION DE LINEA Y RED DE DISTRIBUCION DE ENERGIA ELECTRICA CALLE AVENIDA MORELOS</t>
  </si>
  <si>
    <t>AMPLIACION DE RED DE DISTRIBUCION DE ENERGIA ELECTRICA CALLE NARANJOS</t>
  </si>
  <si>
    <t>AMPLIACION DE RED DE DISTRIBUCION DE ENERGIA ELECTRICA CALLE DIECISEIS DE SEPTIEMBRE</t>
  </si>
  <si>
    <t>AMPLIACION DE LINEA Y RED DE DISTRIBUCION DE ENERGIA ELECTRICA CALLE HIDALGO</t>
  </si>
  <si>
    <t>AMPLIACION DE RED DE DISTRIBUCION DE ENERGIA ELECTRICA CALLE PRIVADA LIBERTAD</t>
  </si>
  <si>
    <t>AMPLIACION DE RED DE DISTRIBUCION DE ENERGIA ELECTRICA CALLE ALDAMA</t>
  </si>
  <si>
    <t>AMPLIACION DE RED DE DISTRIBUCION DE ENERGIA ELECTRICA CALLE MARIA SUARTO COL LAS INSURGENTES</t>
  </si>
  <si>
    <t>CONSTRUCCION DE CUARTOS DORMITORIO EN LA COMUNIDAD DE SAN MIGUEL OCTOPAN MUNICIPIO DE CELAYA GTO</t>
  </si>
  <si>
    <t>CONSTRUCCION DE CUARTOS DORMITORIO EN LA COMUNIDAD SAN JUAN DE LA VEGA MUNICIPIO DE CELAYA GTO</t>
  </si>
  <si>
    <t>CONSTRUCCION DE CUARTOS DORMITORIO EN LA COMUNIDAD SAN ANTONIO GALLARDO MUNICIPIO DE CELAYA GTO</t>
  </si>
  <si>
    <t>CONSTRUCCION DE CUARTOS DORMITORIO EN LA COMUNIDAD DE LA AURORA MUNICIPIO DE CELAYA GTO</t>
  </si>
  <si>
    <t>CONSTRUCCION DE CUARTOS DORMITORIO EN LA COMUNIDAD TENERIA DEL SANTUARIO MUNICIPIO DE CELAYA GTO</t>
  </si>
  <si>
    <t>CONSTRUCCION DE CUARTOS DORMITORIO EN LA COMUNIDAD DE PRIMERA FRACCION DE CRESPO EL MOLINO MUNICIPIO DE CELAYA GTO</t>
  </si>
  <si>
    <t>CONSTRUCCION DE CUARTOS DORMITORIO EN LA COMUNIDAD SAN JOSE DE GUANAJUATO MUNICIPIO DE CELAYA GTO</t>
  </si>
  <si>
    <t>CONSTRUCCION DE CUARTOS DORMITORIO EN LA COMUNIDAD DE JUAN MARTIN MUNICIPIO DE CELAYA GTO</t>
  </si>
  <si>
    <t>AMPLIACION DE LINEA Y RED DE DISTRIBUCION DE ENERGIA ELECTRICA CALLE MELCHOR OCAMPO NOGAL Y LIBRADO RIVERA</t>
  </si>
  <si>
    <t>AMPLIACION DE RED DE DISTRIBUCION DE ENERGIA ELECTRICA CALLE AÑIL Y PROLONGACION EMILIANO ZAPATA</t>
  </si>
  <si>
    <t>AMPLIACION DE RED DE DISTRIBUCION DE ENERGIA ELECTRICA CALLE LEONA VICARIO</t>
  </si>
  <si>
    <t>AMPLIACION DE RED DE DISTRIBUCION DE ENERGIA ELECTRICA CALLE PRIMERA PRIVADA DE MORELOS</t>
  </si>
  <si>
    <t>AMPLIACION DE RED DE DISTRIBUCION DE ENERGIA ELECTRICA CALLE ANDADOR VALENTE RAMOS</t>
  </si>
  <si>
    <t>AMPLIACION DE LINEA Y RED DE DISTRIBUCION DE ENERGIA ELECTRICA CALLE FUNDADORES</t>
  </si>
  <si>
    <t>AMPLIACION DE RED DE DISTRIBUCION DE ENERGIA ELECTRICA CALLE PRIVADA LUPITA</t>
  </si>
  <si>
    <t>AMPLIACION DE RED DE DISTRIBUCION DE ENERGIA ELECTRICA CALLE TULIPANES</t>
  </si>
  <si>
    <t>AMPLIACION DE RED DE DISTRIBUCION DE ENERGIA ELECTRICA CALLE PRIVADA CENTROAMERICA</t>
  </si>
  <si>
    <t>AMPLIACION DE RED DE DISTRIBUCION DE ENERGIA ELECTRICA CALLE SAN IGNACIO</t>
  </si>
  <si>
    <t>AMPLIACION DE RED DE DISTRIBUCION DE ENERGIA ELECTRICA CALLE PRIVADA LA CRUZ</t>
  </si>
  <si>
    <t>AMPLIACION DE RED DE DISTRIBUCION DE ENERGIA ELECTRICA CALLE PROLONGACION PINO SUAREZ</t>
  </si>
  <si>
    <t>AMPLIACION DE RED DE DISTRIBUCION DE ENERGIA ELECTRICA CALLES DOCE DE DICIEMBRE E INOCENCIA MENDOZA</t>
  </si>
  <si>
    <t>AMPLIACION DE RED DE DISTRIBUCION DE ENERGIA ELECTRICA CALLE SAN PEDRO</t>
  </si>
  <si>
    <t>IMUVI MEJORAMIENTO DE VIVIENDA NOR PONIENTE PEDRO MARIA ANAYA</t>
  </si>
  <si>
    <t>IMUVI MEJORAMIENTO DE VIVIENDA NOR PONIENTE PATRIA NUEVA</t>
  </si>
  <si>
    <t>IMUVI MEJORAMIENTO DE VIVIENDA NOR PONIENTE COL PIRULES DE TROJES</t>
  </si>
  <si>
    <t>IMUVI MEJORAMIENTO DE VIVIENDA NOR PONIENTE SAN ANTONIO GALLARDO</t>
  </si>
  <si>
    <t>IMUVI MEJORAMIENTO DE VIVIENDA NOR PONIENTE SAN JUAN DE LA VEGA</t>
  </si>
  <si>
    <t>IMUVI MEJORAMIENTO DE VIVIENDA NOR PONIENTE LA AURORA</t>
  </si>
  <si>
    <t>IMUVI MEJORAMIENTO DE VIVIENDA NOR PONIENTE SEGUNDA DE CRESPO</t>
  </si>
  <si>
    <t>AMPLIACION DE RED DE DISTRIBUCION DE ENERGIA ELECTRICA CALLES GUADALUPE Y PRIVADA GUADALUPE</t>
  </si>
  <si>
    <t>AMPLIACION DE LINEA Y RED DE DISTRIBUCION DE ENERGIA ELECTRICA CALLEJON DE DOÑA BARTOLA</t>
  </si>
  <si>
    <t>AMPLIACION DE RED DE DISTRIBUCION DE ENERGIA ELECTRICA CALLE JESUS HUMBERTO</t>
  </si>
  <si>
    <t>AMPLIACION DE RED DE DISTRIBUCION DE ENERGIA ELECTRICA CALLE SALVADOR MALAGON</t>
  </si>
  <si>
    <t>AMPLIACION DE RED DE DISTRIBUCION DE ENERGIA ELECTRICA CALLE LUMALI COL TRESGUERRAS</t>
  </si>
  <si>
    <t>PAVIMENTACION DE LA CALLE AURELIO BONILLA EN LA COLONIA AMPLIACION EMILIANO ZAPATA SEGUNDA ETAPA TRAMO DE ADOLFO LOPEZ MATEOS A AV MEXICO JA</t>
  </si>
  <si>
    <t>PAVIMENTO DE CONCRETO HIDRAULICO CALLE PRIVADA FRANCISCO VILLA TRAMO DE CAMINO A JOFRE A FIN DE LA CALLE</t>
  </si>
  <si>
    <t>CONSTRUCCION DE AULA TALLER EN LA ESCUELA PRIMARIA AGUSTIN YAÑEZ COMUNIDAD RINCON DE TAMAYO</t>
  </si>
  <si>
    <t>MEJORAMIENTO DE AULAS CON LAMPARAS Y PINTURA DEL JARDIN DE NIÑOS ANTONIO CASO DE RINCON DE TAMAYO</t>
  </si>
  <si>
    <t>MEJORAMIENTO DE BARDA PERIMETRAL INCLUYE PORTON DE ACCESO DEL JARDIN DE NIÑOS ANTONIO CASO DE SAN JUAN DE LA VEGA</t>
  </si>
  <si>
    <t>MEJORAMIENTO DE BARDA PERIMETRAL DEL JARDIN DE NIÑOS AGUSTIN YAÑEZ DE LA COMUNIDAD LA AURORA</t>
  </si>
  <si>
    <t>MEJORAMIENTO CON IMPERMEABILIZACION DE AULAS DEL JARDIN DE NIÑOS EMMA GODOY DE SAN JUAN DE LA VEGA</t>
  </si>
  <si>
    <t>MEJORAMIENTO DE AULAS CON PINTURA JARDIN DE NIÑOS ENRIQUE C REBSAMEN DE TENERIA DEL SANTUARIO</t>
  </si>
  <si>
    <t>MEJORAMIENTO DE BARDA PERIMETRAL EN ESCUELA PRIMARIA CARMEN SERDAN DE LA COLONIA EJIDAL (INDEPENDENCIA)</t>
  </si>
  <si>
    <t>MEJORAMIENTO DE AULAS CON COLOCACION DE PROTECCIONES A PUERTAS DEL JARDIN DE NIÑOS JOSE VASCONCELOS DE LA COLONIA LOS LAGOS</t>
  </si>
  <si>
    <t>MEJORAMIENTO DE AULAS CON PINTURA DEL JARDIN DE NIÑOS JAIME TORRES BODET COLONIA DEL BOSQUE</t>
  </si>
  <si>
    <t>MEJORAMIENTO DE AULAS CON PINTURA PUERTA LAMPARAS CHAPAS Y CERROJOS DEL JARDIN DE NIÑOS JOAQUIN FERNANDEZ DE LIZARDI COL LAZARO CARDENAS</t>
  </si>
  <si>
    <t>MEJORAMIENTO DE AULAS CON PINTURA DEL JARDIN DE NIÑOS MARIA MONTESSORI COMUNIDAD SAN JUAN DE LA VEGA</t>
  </si>
  <si>
    <t>MEJORAMIENTO DE AULAS CON PINTURA DEL JARDIN DE NIÑOS MOISES SAENZ GARZA COMUNIDAD CAMARGO</t>
  </si>
  <si>
    <t>MEJORAMIENTO DE AULAS CON PINTURA DE LA PRIMARIA ADOLFO LOPEZ MATEOS COLONIA EJIDAL</t>
  </si>
  <si>
    <t>MEJORAMIENTO DE AULAS CON PINTURA DE LA PRIMARIA DIEGO RIVERA DE LA COLONIA EMILIANO ZAPATA</t>
  </si>
  <si>
    <t>MEJORAMIENTO DE BARDA PERIMETRAL DE LA ESCUELA PRIMARIA EMILIANO ZAPATA DE LA COMUNIDAD SANTA MARIA DEL REFUGIO</t>
  </si>
  <si>
    <t>MEJORAMIENTO DE BARDA PERIMETRAL DE LA ESCUELA PRIMARIA INDEPENDENCIA DE LA COMUNIDAD EL BECERRO SANTOS DEGOLLADO</t>
  </si>
  <si>
    <t>MEJORAMIENTO DE AULAS CON IMPERMEABILIZANTE DE LA ESCUELA PRIMARIA IGNACIO ALLENDE VESP DE LA COMUNIDAD SAN JUAN DE LA VEGA</t>
  </si>
  <si>
    <t>MEJORAMIENTO DE BARDA PERIMETRAL DE LA ESCUELA PRIMARIA JAIME TORRES BODET DE LA COMUNIDAD SAN JUAN DE LA VEGA</t>
  </si>
  <si>
    <t>REHABILITACION DE SERVICIOS SANITARIOS EN LA TELESECUNDARIA NUMERO TRESCIENTOS NOVENTA Y TRES DE LA COMUNIDAD DE GASCA</t>
  </si>
  <si>
    <t>MEJORAMIENTO DE AULAS CON PINTURA DE LA PRIMARIA JOSE MARIA MORELOS DE LA COMUNIDAD DE CAMARGO</t>
  </si>
  <si>
    <t>MEJORAMIENTO CON PISO DE LOZETA EN AULAS DE LA ESCUELA PRIMARIA JESUS MACIAS GARMA DE SAN MARTIN DE CAMARGO</t>
  </si>
  <si>
    <t>MEJORAMIENTO DE BARDA PERIMETRAL DE LA PRIMARIA LAZARO CARDENAS DEL RIO DE LA COLONIA LAZARO CARDENAS</t>
  </si>
  <si>
    <t>MEJORAMIENTO DE ALJIBE DE LA ESCUELA PRIMARIA MIGUEL HIDALGO DE LA COMUNIDAD SAN JUAN DE LA VEGA</t>
  </si>
  <si>
    <t>MEJORAMIENTO CON APLANADO Y PINTURA DE BARDA DE LA ESCUELA PRIMARIA MIGUEL HIDALGO COLONIA TRESGUERRAS</t>
  </si>
  <si>
    <t>MEJORAMIENTO DE AULAS CON PINTURA DE LA PRIMARIA VICENTE GUERRERO DE LA COMUNIDAD JUAN MARTIN</t>
  </si>
  <si>
    <t>MEJORAMIENTO CON IMPERMEABILIZACION DE AULAS DE LA PRIMARIA VICENTE GUERRERO DE PRIMERA FRACC DE CRESPO</t>
  </si>
  <si>
    <t>MEJORAMIENTO DE AULAS CON COLOCACION DE PROTECCIONES EN VENTANAS EN SECUNDARIA LAZARO CARDENAS DE LA COMUNIDAD SAN MIGUEL OCTOPAN</t>
  </si>
  <si>
    <t>MEJORAMIENTO DE BARDA PERIMETRAL DE SECUNDARIA OTILIO MONTAÑO DE LA COMUNIDAD SAN ANTONIO GALLARDO</t>
  </si>
  <si>
    <t>MEJORAMIENTO DE BARDA CON APLANADO EN LA ESCUELA TELESECUNDARIA NUMERO TREINTA DE LA COMUNIDAD JUAN MARTIN</t>
  </si>
  <si>
    <t>MEJORAMIENTO DE AULAS CON PINTURA DE LA TELESECUNDARIA TREINTA Y UNO DE LA COMUNIDAD SAN JUAN DE LA VEGA</t>
  </si>
  <si>
    <t>MEJORAMIENTO DE AULAS CON PISO DE LOZETA EN TELESECUNDARIA CUATROCIENTOS DIECISEIS DE LA COLONIA DEL BOSQUE</t>
  </si>
  <si>
    <t>MEJORAMIENTO DE BARDA PERIMETRAL DEL BACHILLERATO SABES DE LA COMUNIDAD JUAN MARTIN</t>
  </si>
  <si>
    <t>MEJORAMIENTO DE AULAS CON IMPERMEABILIZANTE Y PINTURA DEL BACHILLERATO SABES DE LA COMUNIDAD SAN MIGUEL OCTOPAN</t>
  </si>
  <si>
    <t>MEJORAMIENTO DE BARDA PERIMETRAL INCLUYE PORTON DE ACCESO AL BACHILLERATO SABES DE LA COMUNIDAD SAN JOSE DE GUANAJUATO</t>
  </si>
  <si>
    <t>RED DE DRENAJE SANITARIO EN CALLE JUAREZ TRAMO DE CALLE VICENTE GUERRERO A CALLE CINCO DE MAYO COMUNIDAD SAN JUAN DE LA VEGA</t>
  </si>
  <si>
    <t>AMPLIACION DE RED DE DRENAJE SANITARIO DE LA CALLE CONSTITUYENTES TRAMO DE ENTRADA A CUADRITOS A PROLONGACION OLIVEROS SAN ISIDRO DE LA CONC</t>
  </si>
  <si>
    <t>ESCUELA PRIMARIA JOSE MARIA MORELOS COMUNIDAD DE SILVA PELAVACAS RED DE DRENAJE CONEXION A LA ESCUELA</t>
  </si>
  <si>
    <t>REHABILITACION DE RED DE AGUA POTABLE CALLE FRANCISCO I MADERO TRAMO IGNACIO ALLENDE A ZARAGOZA TENERIA DEL SANTUARIO</t>
  </si>
  <si>
    <t>CECYTE CELAYA III EJIDO DE SANTA MARIA DEL REFUGIO DOTACION DE SERVICIOS BASICOS ELECTRIFICACION</t>
  </si>
  <si>
    <t>TECHADO DE CANCHA DE USOS MULTIPLES CECYTE RINCON DE TAMAYO</t>
  </si>
  <si>
    <t>CECYTE CELAYA TROJES TECHADO DE CANCHA DE USOS MULTIPLES</t>
  </si>
  <si>
    <t>REHABILITACION DE BIBLIOTECA DE LA COMUNIDAD RINCÓN DE TAMAYO</t>
  </si>
  <si>
    <t>REHABILITACION DE BIBLIOTECA DE LA COLONIA VILLAS DEL BAJIO</t>
  </si>
  <si>
    <t>REHABILITACION DE BIBLIOTECA DE LA COLONIA LAS AMERICAS</t>
  </si>
  <si>
    <t>REHABILITACION DE BIBLIOTECA DE LA COLONIA VILLAS DEL ROMERAL</t>
  </si>
  <si>
    <t>REHABILITACION DE BIBLIOTECA DE LA COLONIA ARBOLEDAS DE SAN RAFAEL</t>
  </si>
  <si>
    <t>REHABILITACION DE BIBLIOTECA DE LA COLONIA LA MISION</t>
  </si>
  <si>
    <t>REHABILITACION DE BIBLIOTECA DE LA COMUNIDAD SAN MIGUEL OCTOPAN</t>
  </si>
  <si>
    <t>REHABILITACION DE BIBLIOTECA DE LA COMUNIDAD ROQUE</t>
  </si>
  <si>
    <t>MEJORAMIENTO DE VENTANAS DEL JARDIN DE NIÑOS FRANCISCO EDUARDO TRESGUERRAS DE LA COLONIA SANTA ISABEL</t>
  </si>
  <si>
    <t>CONSTRUCCION DE CUARTOS DORMITORIO EN LA COMUNIDAD LA PALMITA DE SAN GABRIEL MUNICIPIO DE CELAYA GTO</t>
  </si>
  <si>
    <t>CONSTRUCCION DE CUARTOS DORMITORIO EN LA COMUNIDAD DE OJO SECO MUNICIPIO DE CELAYA GTO</t>
  </si>
  <si>
    <t>CONSTRUCCION DE CUARTO DORMITORIO EN LA COMUNIDAD ESTRADA MUNICIPIO DE CELAYA GTO</t>
  </si>
  <si>
    <t>CONSTRUCCION DE CUARTO DORMITORIO EN LA COMUNIDAD PRIMERA FRACCION DE CRESPO EL MOLINO MUNICIPIO DE CELAYA GTO</t>
  </si>
  <si>
    <t>CONSTRUCCION DE CUARTOS DORMITORIO EN LA COMUNIDAD COLONIA FRACC EL PUENTE MUNICIPIO DE CELAYA GTO</t>
  </si>
  <si>
    <t>CONSTRUCCION DE CUARTOS DORMITORIO EN LA COMUNIDAD MICHINELAS MUNICIPIO DE CELAYA GTO</t>
  </si>
  <si>
    <t>CONSTRUCCION DE CUARTOS DORMITORIO EN LA COMUNIDAD ARREGUIN DE ABAJO MUNICIPIO DE CELAYA GTO</t>
  </si>
  <si>
    <t>REHABILITACION DE LA RED DE AGUA POTABLE CALLE AV GUERRERO TRAMO DE SITIO DE QUERETARO A AV LAZARO CARDENAS COL RANCHO SECO</t>
  </si>
  <si>
    <t>AMPLIACION DE RED DE DRENAJE CALLE AV GUERRERO TRAMO DE SITIO DE QUERETARO A AV LAZARO CARDENAS DE RANCHO SECO</t>
  </si>
  <si>
    <t>AMPLIACION RED DRENAJE SANITARIO DE LAS CALLES GUANAJUATO TRAMO AMADO NERVO AL FONDO Y PROL LABRADORES TRAMO GUANAJUATO A</t>
  </si>
  <si>
    <t>MEJORAMIENTO DE AULAS CON COLOCACION DE MAMPARAS VENTANAS Y PUERTAS EN CECYTE DE LA COMUNIDAD SAN ANTONIO GALLARDO</t>
  </si>
  <si>
    <t>SEGUNDA ETAPA DE CONSTRUCCION DE LA UNIDAD MEDICA DE ATENCION PRIMARIA A LA SALUD UMAPS DE LA LOCALIDAD EL PUESTO CELAYA GTO</t>
  </si>
  <si>
    <t>CONSTRUCCION DE MEDIO TECHADO SECUNDARIA GENERAL NAT TAH HI COL LAS INSURGENTES</t>
  </si>
  <si>
    <t>CONSTRUCCION DE BARDA DE COLINDANCIA ORIENTE DE LA SECUNDARIA OFICIAL FRANCISCO PAREDES VELASCO COLONIA LAS FUENTES</t>
  </si>
  <si>
    <t>RED DE DRENAJE SANITARIO EN CALLE MORELOS TRAMO DEL DREN AL KIDER Y DEL KINDER A NOVENTA Y SIETE METROS AL ORIENTE NUEVO PORVENIR EL PUJIDO</t>
  </si>
  <si>
    <t>CONSTRUCCION REPOSICION DE POZO PROFUNDO EN LA COMUNIDAD DE PLANCARTE</t>
  </si>
  <si>
    <t>PAVIMENTO DE CONCRETO HIDRAULICO CALLE CINCO DE MAYO</t>
  </si>
  <si>
    <t>CONSTRUCCION DE CUARTOS DORMITORIO EN LA COMUNIDAD DE SAN LORENZO MUNICIPIO DE CELAYA GTO</t>
  </si>
  <si>
    <t>CONSTRUCCION DE CUARTOS DORMITORIO EN LA COMUNIDAD DE SAN ISIDRO DE ELGUERA MUNICIPIO DE CELAYA GTO</t>
  </si>
  <si>
    <t>CONSTRUCCION DE CUARTOS DORMITORIO EN LA COMUNIDAD DE SAN ANTONIO ESPINOZA MUNICIPIO DE CELAYA GTO</t>
  </si>
  <si>
    <t>CALENTADOR SOLAR DE DOCE TUBOS Y TANQUE DE ACERO INOXIDABLE CON CAPACIDAD DE CIENTO CINCUENTA LITROS</t>
  </si>
  <si>
    <t>CONSTRUCCION DE CUARTOS DORMITORIO PIDH EN LA COMUNIDAD DE TENERIA DEL SANTUARIO MUNICIPIO DE CELAYA GTO</t>
  </si>
  <si>
    <t>CONSTRUCCION DE TECHADO PRIMARIA JOSE MARIA MORELOS Y PAVON DE LA COMUNIDAD EJIDO DE SILVA</t>
  </si>
  <si>
    <t>CONSTRUCCION DE BARDA PERIMETRAL JARDIN DE NIÑOS CUAUHTEMOC COMUNIDAD DE RINCON DE TAMAYO</t>
  </si>
  <si>
    <t>CONSTRUCCION DE CUARTOS DORMITORIO PIDH EN LA COMUNIDAD DE JUAN MARTIN MUNICIPIO DE CELAYA GTO</t>
  </si>
  <si>
    <t>PRODIM 2018</t>
  </si>
  <si>
    <t>SANTA MARIA DEL REFUGIO</t>
  </si>
  <si>
    <t>SAN JOSE DE GUANAJUATO</t>
  </si>
  <si>
    <t>SAN ISIDRO DE CRESPO</t>
  </si>
  <si>
    <t>JUAN MARTIN</t>
  </si>
  <si>
    <t>LOS LAGOS</t>
  </si>
  <si>
    <t>SAN RAFAEL</t>
  </si>
  <si>
    <t>PRESA BLANCA</t>
  </si>
  <si>
    <t>EL BECERRO (SANTOS DEGOLLADO)</t>
  </si>
  <si>
    <t>ROQUE</t>
  </si>
  <si>
    <t>RINCON DE TAMAYO</t>
  </si>
  <si>
    <t>ARBOLEDAS DE SAN RAFAEL</t>
  </si>
  <si>
    <t>SAN RAFAEL DE YUSTIS</t>
  </si>
  <si>
    <t>SAN LUIS REY</t>
  </si>
  <si>
    <t>SAN MIGUEL OCTOPAN</t>
  </si>
  <si>
    <t>GASCA</t>
  </si>
  <si>
    <t>PRADOS DEL NARANJAL</t>
  </si>
  <si>
    <t>YUSTIS (SAN JOSE DE YUSTIS)</t>
  </si>
  <si>
    <t>CANOAS (CONGREGACION DE CANOAS</t>
  </si>
  <si>
    <t>JOFRE</t>
  </si>
  <si>
    <t>LA ESPERANZA DE YUSTIS (LOS MARTINEZ)</t>
  </si>
  <si>
    <t>LOS AGUIRRE</t>
  </si>
  <si>
    <t>LOS GALVANES</t>
  </si>
  <si>
    <t>LOS TRES PUENTES</t>
  </si>
  <si>
    <t>SAN ANTONIO ESPINOZA</t>
  </si>
  <si>
    <t>SAN NICOLAS DE ESQUIROS</t>
  </si>
  <si>
    <t>MICHINELAS</t>
  </si>
  <si>
    <t>NUEVO PORVENIR (EL PUJIDO</t>
  </si>
  <si>
    <t>SAN ISIDRO DE TROJES</t>
  </si>
  <si>
    <t>SANTA ROSA DE LIMA</t>
  </si>
  <si>
    <t>PRIMERA FRACCION DE CRESPO (EL MOLINO)</t>
  </si>
  <si>
    <t>LAS INSURGENTES</t>
  </si>
  <si>
    <t>JUAN DE LA VEGA</t>
  </si>
  <si>
    <t>SAN ANTONIO GALLARDO</t>
  </si>
  <si>
    <t>LA AURORA</t>
  </si>
  <si>
    <t>TENERIA DEL SANTUARIO</t>
  </si>
  <si>
    <t>JAUREGUI</t>
  </si>
  <si>
    <t>COLONIA LA CRUZ</t>
  </si>
  <si>
    <t>LA CRUZ (COMUNIDAD)</t>
  </si>
  <si>
    <t>LA LAJA</t>
  </si>
  <si>
    <t>LA LUZ</t>
  </si>
  <si>
    <t>LA PALMITA (LA PALMITA DE SAN GABRIEL)</t>
  </si>
  <si>
    <t>OJO SECO</t>
  </si>
  <si>
    <t>PLANCARTE</t>
  </si>
  <si>
    <t>SAN ISIDRO DE ELGUERA</t>
  </si>
  <si>
    <t>PEDRO MARIA ANAYA</t>
  </si>
  <si>
    <t>PATRIA NUEVA</t>
  </si>
  <si>
    <t>SAN JUAN DE LA VEGA</t>
  </si>
  <si>
    <t>SAN LORENZO</t>
  </si>
  <si>
    <t>SANTA TERESA</t>
  </si>
  <si>
    <t>TRESGUERRAS</t>
  </si>
  <si>
    <t>AMPLIACION EMILIANO ZAPATA</t>
  </si>
  <si>
    <t>EJIDAL</t>
  </si>
  <si>
    <t>DEL BOSQUE</t>
  </si>
  <si>
    <t>LAZARO CARDENAS</t>
  </si>
  <si>
    <t>CAMARGO</t>
  </si>
  <si>
    <t>EMILIANO ZAPATA</t>
  </si>
  <si>
    <t>SAN MARTIN DE CAMARGO</t>
  </si>
  <si>
    <t>SAN ISIDRO DE LA CONCEPCION</t>
  </si>
  <si>
    <t>EJIDO DE SILVA</t>
  </si>
  <si>
    <t>CELAYA ENTRE VILLAS DE LOS ARCOS Y CAMPO AZUL</t>
  </si>
  <si>
    <t>VILLAS DEL BAJIO</t>
  </si>
  <si>
    <t>LAS AMERICAS</t>
  </si>
  <si>
    <t>VILLAS DEL ROMERAL</t>
  </si>
  <si>
    <t>LA MISION</t>
  </si>
  <si>
    <t>SANTA ISABEL</t>
  </si>
  <si>
    <t>LA PALMITA (PALMITA DE SAN GABRIEL)</t>
  </si>
  <si>
    <t>ESTRADA</t>
  </si>
  <si>
    <t>COLONIA FRACC EL PUENTE</t>
  </si>
  <si>
    <t>ARREGUIN DE ABAJO</t>
  </si>
  <si>
    <t>RANCHO SECO</t>
  </si>
  <si>
    <t>EL PUESTO</t>
  </si>
  <si>
    <t>LAS FUENTES</t>
  </si>
  <si>
    <t>EJIDAL Y JACARANDAS</t>
  </si>
  <si>
    <t>MONTEBLANCO</t>
  </si>
  <si>
    <t>ARBOLEDAS DE CAMARGO</t>
  </si>
  <si>
    <t>LAS CARRETAS, SANTA TERESITAY VILLAS DE CELAYA</t>
  </si>
  <si>
    <t>SAN JOSE DE TORRES Y TRESGUERRAS</t>
  </si>
  <si>
    <t>FELIPE ANGELES, SAN RAFAEL Y MONTEBLANCO</t>
  </si>
  <si>
    <t>DEL BOSQUE 1ER SECCION</t>
  </si>
  <si>
    <t>DEL BOSQUE 2DA SECCION</t>
  </si>
  <si>
    <t>EMILIANO ZAPATA NTE, PROL EMILIANO ZAPAT, TIERRA Y LIBERTAD Y NAT-THA-HI</t>
  </si>
  <si>
    <t>PARAISO 1ER SECC</t>
  </si>
  <si>
    <t>LA ESPERANZA</t>
  </si>
  <si>
    <t>PROGRESO SOLIDARIDAD 1 Y 2DA SECC</t>
  </si>
  <si>
    <t>PARAISO 2DA SECC</t>
  </si>
  <si>
    <t>JUAN PABLO II</t>
  </si>
  <si>
    <t>SAN FELIPE</t>
  </si>
  <si>
    <t>PROGRESO SOLIDARIDAD 3ER SECC</t>
  </si>
  <si>
    <t>AMPLIACION EMILIANO ZAPATA, BRISAS DEL VALLE Y SANTA RITA</t>
  </si>
  <si>
    <t>DE 57 CUARTOS DEL PIDH ANEXO DE EJECUCION 3</t>
  </si>
  <si>
    <t>ALFREDO V BONFIL, NUEVO TECNOLOGICO, RESIDENCIAL TECNOLOGICO, FRACC INDUSTRIALES Y LINDAVISTA</t>
  </si>
  <si>
    <t>ARBOLEDAS DE SAN RAFAEL, RINCONADA SAN JORGE, VILLAS DEL ROMERAL Y VILLAS DE LOS ARCOS</t>
  </si>
  <si>
    <t>BARRIO TIERRAS NEGRAS, ZAPOTE, LAS INSURGENTES, CENTRO, LA RESURRECCION Y EL VERGEL</t>
  </si>
  <si>
    <t>GIRASOLES, ZONA DE ORO 1, SAN JUANICO, LOS LAURELES Y VALLE DEL REAL</t>
  </si>
  <si>
    <t>MISION DE SANTA FE, RINCONADA DE SAN MIGUEL, BRISAS DEL CARMEN Y LOS OLIVOS</t>
  </si>
  <si>
    <t>FRACC 15 DE MAYO, LA MISION, VILLAS DE LA HACIENDA, VILLAS DE LA ARBOLEDA, LA CAPILLA, GALAXIAS DEL PARQUE, VALLE DE LOS NARANJOS, FRACC HACIENDA DEL BOSQUE Y VILLAS DEL BAJIO</t>
  </si>
  <si>
    <t>LA LAJA, LOS CAPULINES, LOS GALVANES, PLANCARTE Y SAN LUIS REY</t>
  </si>
  <si>
    <t>LA CONCEPCION, LA ESPERANZA DE YUSTIS, LOS AGUIRRE, TRES PUENTES, SAN ANTONIO ESPINOZA Y SAN ISIDRO DE ELGUERA</t>
  </si>
  <si>
    <t>ARREGUIN DE ABAJO, RANCHO SECO, EL PUENTE, EL PUESTO, JOFRE, LA PALMITA DE SAN GABRIEL, MICHINELAS, OJO SECO Y SANTA ANITA</t>
  </si>
  <si>
    <t>CANOAS, LA CRUZ, LA LUZ, LA MACHUCA, LOS ALAMOS, LOS MANCERA, SAN ISIDRO DEL PALMAR, SAN LORENZO Y SANTA ROSA DE LIMA</t>
  </si>
  <si>
    <t>DE 9 CUARTOS DEL PIDH ANEXO DE EJECUCION 4</t>
  </si>
  <si>
    <t>ADQUISICION DE 117 EQUIPOS PARA MEJORAR LA CALIDAD DEL SERVICIO.</t>
  </si>
  <si>
    <t>CELAYA</t>
  </si>
  <si>
    <t>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</si>
</sst>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quot;$&quot;* #,##0.00_-;_-&quot;$&quot;* &quot;-&quot;??_-;_-@_-"/>
    <numFmt numFmtId="43" formatCode="_-* #,##0.00_-;\-* #,##0.00_-;_-* &quot;-&quot;??_-;_-@_-"/>
    <numFmt numFmtId="164" formatCode="_-* #,##0.00\ _€_-;\-* #,##0.00\ _€_-;_-* &quot;-&quot;??\ _€_-;_-@_-"/>
    <numFmt numFmtId="165" formatCode="&quot;$&quot;#,##0.00"/>
    <numFmt numFmtId="166" formatCode="_-* #,##0.00\ [$€]_-;\-* #,##0.00\ [$€]_-;_-* &quot;-&quot;??\ [$€]_-;_-@_-"/>
    <numFmt numFmtId="167" formatCode="_-[$€-2]* #,##0.00_-;\-[$€-2]* #,##0.00_-;_-[$€-2]* &quot;-&quot;??_-"/>
    <numFmt numFmtId="168" formatCode="_(&quot;$&quot;* #,##0.00_);_(&quot;$&quot;* \(#,##0.00\);_(&quot;$&quot;* &quot;-&quot;??_);_(@_)"/>
    <numFmt numFmtId="169" formatCode="_(* #,##0.00_);_(* \(#,##0.00\);_(* &quot;-&quot;??_);_(@_)"/>
    <numFmt numFmtId="170" formatCode="_([$€]* #,##0.00_);_([$€]* \(#,##0.00\);_([$€]* &quot;-&quot;??_);_(@_)"/>
    <numFmt numFmtId="171" formatCode="#,##0.0000"/>
    <numFmt numFmtId="172" formatCode="dd/mm/yyyy;@"/>
    <numFmt numFmtId="173" formatCode="#,##0.000"/>
    <numFmt numFmtId="174" formatCode="#,##0.00_ ;\-#,##0.00\ "/>
    <numFmt numFmtId="175" formatCode="_-* #,##0.0000_-;\-* #,##0.0000_-;_-* &quot;-&quot;??_-;_-@_-"/>
    <numFmt numFmtId="176" formatCode="#,##0.000000"/>
    <numFmt numFmtId="177" formatCode="#,##0.0000000"/>
    <numFmt numFmtId="178" formatCode="0.0000"/>
    <numFmt numFmtId="179" formatCode="\(##\)"/>
    <numFmt numFmtId="180" formatCode="#,##0.0"/>
  </numFmts>
  <fonts count="180">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indexed="8"/>
      <name val="Calibri"/>
      <family val="2"/>
    </font>
    <font>
      <sz val="11"/>
      <color indexed="10"/>
      <name val="Calibri"/>
      <family val="2"/>
    </font>
    <font>
      <sz val="12"/>
      <color theme="1"/>
      <name val="Arial"/>
      <family val="2"/>
    </font>
    <font>
      <sz val="12"/>
      <name val="Arial"/>
      <family val="2"/>
    </font>
    <font>
      <b/>
      <i/>
      <sz val="12"/>
      <name val="Arial"/>
      <family val="2"/>
    </font>
    <font>
      <b/>
      <sz val="11"/>
      <color theme="1"/>
      <name val="Calibri"/>
      <family val="2"/>
      <scheme val="minor"/>
    </font>
    <font>
      <b/>
      <sz val="12"/>
      <name val="Arial"/>
      <family val="2"/>
    </font>
    <font>
      <sz val="12"/>
      <color indexed="8"/>
      <name val="Arial"/>
      <family val="2"/>
    </font>
    <font>
      <b/>
      <sz val="12"/>
      <color theme="1"/>
      <name val="Arial"/>
      <family val="2"/>
    </font>
    <font>
      <sz val="12"/>
      <color indexed="9"/>
      <name val="Arial"/>
      <family val="2"/>
    </font>
    <font>
      <b/>
      <sz val="12"/>
      <color indexed="18"/>
      <name val="Arial"/>
      <family val="2"/>
    </font>
    <font>
      <sz val="12"/>
      <color indexed="12"/>
      <name val="Arial"/>
      <family val="2"/>
    </font>
    <font>
      <b/>
      <sz val="12"/>
      <color indexed="12"/>
      <name val="Arial"/>
      <family val="2"/>
    </font>
    <font>
      <sz val="14"/>
      <color theme="1"/>
      <name val="Calibri"/>
      <family val="2"/>
    </font>
    <font>
      <sz val="14"/>
      <name val="Calibri"/>
      <family val="2"/>
    </font>
    <font>
      <b/>
      <sz val="14"/>
      <color indexed="18"/>
      <name val="Calibri"/>
      <family val="2"/>
    </font>
    <font>
      <sz val="14"/>
      <name val="Calibri"/>
      <family val="2"/>
      <scheme val="minor"/>
    </font>
    <font>
      <sz val="14"/>
      <color theme="1"/>
      <name val="Calibri"/>
      <family val="2"/>
      <scheme val="minor"/>
    </font>
    <font>
      <b/>
      <i/>
      <sz val="14"/>
      <color theme="1"/>
      <name val="Calibri"/>
      <family val="2"/>
      <scheme val="minor"/>
    </font>
    <font>
      <b/>
      <sz val="14"/>
      <name val="Calibri"/>
      <family val="2"/>
      <scheme val="minor"/>
    </font>
    <font>
      <b/>
      <sz val="14"/>
      <color theme="1"/>
      <name val="Calibri"/>
      <family val="2"/>
      <scheme val="minor"/>
    </font>
    <font>
      <b/>
      <sz val="26"/>
      <color theme="1"/>
      <name val="Arial Black"/>
      <family val="2"/>
    </font>
    <font>
      <b/>
      <i/>
      <sz val="14"/>
      <color theme="1"/>
      <name val="Calibri"/>
      <family val="2"/>
    </font>
    <font>
      <b/>
      <i/>
      <sz val="14"/>
      <name val="Calibri"/>
      <family val="2"/>
      <scheme val="minor"/>
    </font>
    <font>
      <sz val="10"/>
      <name val="Arial"/>
      <family val="2"/>
      <charset val="204"/>
    </font>
    <font>
      <sz val="11"/>
      <color indexed="9"/>
      <name val="Calibri"/>
      <family val="2"/>
    </font>
    <font>
      <sz val="11"/>
      <color indexed="16"/>
      <name val="Calibri"/>
      <family val="2"/>
    </font>
    <font>
      <b/>
      <sz val="11"/>
      <color indexed="10"/>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18"/>
      <name val="Calibri"/>
      <family val="2"/>
    </font>
    <font>
      <sz val="8"/>
      <name val="Arial Narrow"/>
      <family val="2"/>
    </font>
    <font>
      <b/>
      <sz val="11"/>
      <color indexed="9"/>
      <name val="Calibri"/>
      <family val="2"/>
    </font>
    <font>
      <b/>
      <sz val="18"/>
      <color indexed="62"/>
      <name val="Cambria"/>
      <family val="1"/>
    </font>
    <font>
      <sz val="10"/>
      <name val="Tahoma"/>
      <family val="2"/>
    </font>
    <font>
      <b/>
      <sz val="10"/>
      <name val="AvantGarde Bk BT"/>
      <family val="2"/>
    </font>
    <font>
      <b/>
      <sz val="12"/>
      <name val="AvantGarde Bk BT"/>
    </font>
    <font>
      <b/>
      <sz val="11"/>
      <name val="AvantGarde Bk BT"/>
      <family val="2"/>
    </font>
    <font>
      <sz val="11"/>
      <name val="Arial"/>
      <family val="2"/>
    </font>
    <font>
      <sz val="11"/>
      <color indexed="62"/>
      <name val="Calibri"/>
      <family val="2"/>
    </font>
    <font>
      <sz val="11"/>
      <color indexed="20"/>
      <name val="Calibri"/>
      <family val="2"/>
    </font>
    <font>
      <b/>
      <sz val="11"/>
      <color indexed="63"/>
      <name val="Calibri"/>
      <family val="2"/>
    </font>
    <font>
      <i/>
      <sz val="11"/>
      <color indexed="23"/>
      <name val="Calibri"/>
      <family val="2"/>
    </font>
    <font>
      <sz val="11"/>
      <color indexed="19"/>
      <name val="Calibri"/>
      <family val="2"/>
    </font>
    <font>
      <b/>
      <sz val="18"/>
      <color indexed="62"/>
      <name val="Cambria"/>
      <family val="2"/>
    </font>
    <font>
      <sz val="11"/>
      <color rgb="FF000000"/>
      <name val="Arial"/>
      <family val="2"/>
    </font>
    <font>
      <sz val="11"/>
      <color theme="1"/>
      <name val="Arial"/>
      <family val="2"/>
    </font>
    <font>
      <sz val="10"/>
      <color theme="1"/>
      <name val="Arial"/>
      <family val="2"/>
    </font>
    <font>
      <b/>
      <sz val="14"/>
      <color theme="0"/>
      <name val="Calibri"/>
      <family val="2"/>
      <scheme val="minor"/>
    </font>
    <font>
      <b/>
      <sz val="11"/>
      <color theme="0"/>
      <name val="AvantGarde Bk BT"/>
    </font>
    <font>
      <b/>
      <sz val="12"/>
      <color rgb="FF0070C0"/>
      <name val="AvantGarde Bk BT"/>
    </font>
    <font>
      <b/>
      <sz val="12"/>
      <color rgb="FF0070C0"/>
      <name val="Calibri"/>
      <family val="2"/>
      <scheme val="minor"/>
    </font>
    <font>
      <b/>
      <sz val="12"/>
      <color rgb="FF0070C0"/>
      <name val="Arial"/>
      <family val="2"/>
    </font>
    <font>
      <b/>
      <sz val="11"/>
      <color theme="5" tint="-0.249977111117893"/>
      <name val="Calibri"/>
      <family val="2"/>
      <scheme val="minor"/>
    </font>
    <font>
      <sz val="22"/>
      <name val="Algerian"/>
      <family val="5"/>
    </font>
    <font>
      <sz val="12"/>
      <name val="Calibri"/>
      <family val="2"/>
    </font>
    <font>
      <sz val="12"/>
      <color indexed="8"/>
      <name val="Calibri"/>
      <family val="2"/>
    </font>
    <font>
      <b/>
      <sz val="12"/>
      <color indexed="10"/>
      <name val="Calibri"/>
      <family val="2"/>
    </font>
    <font>
      <i/>
      <sz val="12"/>
      <color indexed="8"/>
      <name val="Calibri"/>
      <family val="2"/>
    </font>
    <font>
      <sz val="12"/>
      <name val="Century Gothic"/>
      <family val="2"/>
    </font>
    <font>
      <sz val="12"/>
      <color indexed="63"/>
      <name val="Arial"/>
      <family val="2"/>
    </font>
    <font>
      <i/>
      <sz val="12"/>
      <name val="Calibri"/>
      <family val="2"/>
    </font>
    <font>
      <sz val="12"/>
      <color theme="1"/>
      <name val="Calibri"/>
      <family val="2"/>
      <scheme val="minor"/>
    </font>
    <font>
      <sz val="12"/>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12"/>
      <color theme="0"/>
      <name val="Arial"/>
      <family val="2"/>
    </font>
    <font>
      <b/>
      <sz val="12"/>
      <color rgb="FFFF0000"/>
      <name val="Arial"/>
      <family val="2"/>
    </font>
    <font>
      <sz val="18"/>
      <color theme="0"/>
      <name val="Arial Black"/>
      <family val="2"/>
    </font>
    <font>
      <sz val="12"/>
      <color rgb="FFFF0000"/>
      <name val="Arial"/>
      <family val="2"/>
    </font>
    <font>
      <b/>
      <sz val="11"/>
      <color rgb="FFFF0000"/>
      <name val="Calibri"/>
      <family val="2"/>
      <scheme val="minor"/>
    </font>
    <font>
      <b/>
      <sz val="12"/>
      <color rgb="FF0070C0"/>
      <name val="Swis721 BlkEx BT"/>
      <family val="2"/>
    </font>
    <font>
      <sz val="11"/>
      <color rgb="FFFF0000"/>
      <name val="Calibri"/>
      <family val="2"/>
      <scheme val="minor"/>
    </font>
    <font>
      <sz val="14"/>
      <color rgb="FFFF0000"/>
      <name val="Calibri"/>
      <family val="2"/>
      <scheme val="minor"/>
    </font>
    <font>
      <sz val="10"/>
      <color rgb="FFFF0000"/>
      <name val="Arial"/>
      <family val="2"/>
    </font>
    <font>
      <sz val="9"/>
      <color indexed="81"/>
      <name val="Tahoma"/>
      <family val="2"/>
    </font>
    <font>
      <b/>
      <sz val="9"/>
      <color indexed="81"/>
      <name val="Tahoma"/>
      <family val="2"/>
    </font>
    <font>
      <b/>
      <sz val="11"/>
      <color theme="3" tint="0.39997558519241921"/>
      <name val="Calibri"/>
      <family val="2"/>
      <scheme val="minor"/>
    </font>
    <font>
      <b/>
      <sz val="8"/>
      <color theme="1"/>
      <name val="Arial Black"/>
      <family val="2"/>
    </font>
    <font>
      <b/>
      <sz val="12"/>
      <color theme="3" tint="0.39997558519241921"/>
      <name val="Arial"/>
      <family val="2"/>
    </font>
    <font>
      <b/>
      <sz val="18"/>
      <color theme="1"/>
      <name val="Arial Black"/>
      <family val="2"/>
    </font>
    <font>
      <b/>
      <sz val="22"/>
      <color theme="0"/>
      <name val="Calibri"/>
      <family val="2"/>
      <scheme val="minor"/>
    </font>
    <font>
      <b/>
      <sz val="12"/>
      <color theme="0"/>
      <name val="Calibri"/>
      <family val="2"/>
    </font>
    <font>
      <sz val="8"/>
      <name val="Arial"/>
      <family val="2"/>
    </font>
    <font>
      <sz val="12"/>
      <color rgb="FF000000"/>
      <name val="Calibri"/>
      <family val="2"/>
      <scheme val="minor"/>
    </font>
    <font>
      <sz val="12"/>
      <color indexed="10"/>
      <name val="Arial"/>
      <family val="2"/>
    </font>
    <font>
      <sz val="12"/>
      <color rgb="FFFF0000"/>
      <name val="Calibri"/>
      <family val="2"/>
      <scheme val="minor"/>
    </font>
    <font>
      <b/>
      <sz val="12"/>
      <color rgb="FF000000"/>
      <name val="Calibri"/>
      <family val="2"/>
      <scheme val="minor"/>
    </font>
    <font>
      <b/>
      <sz val="11"/>
      <color theme="3" tint="0.39997558519241921"/>
      <name val="Arial"/>
      <family val="2"/>
    </font>
    <font>
      <sz val="14"/>
      <color rgb="FF00B050"/>
      <name val="Calibri"/>
      <family val="2"/>
      <scheme val="minor"/>
    </font>
    <font>
      <b/>
      <sz val="11"/>
      <name val="Arial"/>
      <family val="2"/>
    </font>
    <font>
      <b/>
      <i/>
      <sz val="11"/>
      <name val="Arial"/>
      <family val="2"/>
    </font>
    <font>
      <sz val="12"/>
      <color theme="0"/>
      <name val="Arial"/>
      <family val="2"/>
    </font>
    <font>
      <b/>
      <sz val="11"/>
      <color theme="0"/>
      <name val="Arial"/>
      <family val="2"/>
    </font>
    <font>
      <b/>
      <sz val="11"/>
      <color theme="1"/>
      <name val="Arial"/>
      <family val="2"/>
    </font>
    <font>
      <b/>
      <sz val="16"/>
      <color theme="1"/>
      <name val="Calibri"/>
      <family val="2"/>
      <scheme val="minor"/>
    </font>
    <font>
      <b/>
      <sz val="8"/>
      <color theme="1"/>
      <name val="Arial"/>
      <family val="2"/>
    </font>
    <font>
      <b/>
      <sz val="9"/>
      <color theme="3" tint="0.39997558519241921"/>
      <name val="Calibri"/>
      <family val="2"/>
      <scheme val="minor"/>
    </font>
    <font>
      <sz val="11"/>
      <name val="AvantGarde Bk BT"/>
    </font>
    <font>
      <b/>
      <sz val="14"/>
      <color theme="1"/>
      <name val="Arial Black"/>
      <family val="2"/>
    </font>
    <font>
      <sz val="9"/>
      <name val="Calibri"/>
      <family val="2"/>
      <scheme val="minor"/>
    </font>
    <font>
      <sz val="12"/>
      <color theme="1"/>
      <name val="Calibri"/>
      <family val="2"/>
    </font>
    <font>
      <b/>
      <sz val="16"/>
      <name val="Calibri"/>
      <family val="2"/>
      <scheme val="minor"/>
    </font>
    <font>
      <b/>
      <sz val="12"/>
      <color theme="3" tint="0.39997558519241921"/>
      <name val="Calibri"/>
      <family val="2"/>
      <scheme val="minor"/>
    </font>
    <font>
      <b/>
      <sz val="9"/>
      <name val="Arial"/>
      <family val="2"/>
    </font>
    <font>
      <sz val="11"/>
      <color theme="3" tint="0.39997558519241921"/>
      <name val="Calibri"/>
      <family val="2"/>
      <scheme val="minor"/>
    </font>
    <font>
      <sz val="22"/>
      <color theme="3" tint="0.39997558519241921"/>
      <name val="Algerian"/>
      <family val="5"/>
    </font>
    <font>
      <b/>
      <sz val="12"/>
      <color theme="5" tint="-0.249977111117893"/>
      <name val="Arial"/>
      <family val="2"/>
    </font>
    <font>
      <sz val="10"/>
      <name val="Algerian"/>
      <family val="5"/>
    </font>
    <font>
      <sz val="9"/>
      <name val="Algerian"/>
      <family val="5"/>
    </font>
    <font>
      <sz val="8"/>
      <color indexed="81"/>
      <name val="Tahoma"/>
      <family val="2"/>
    </font>
    <font>
      <b/>
      <sz val="8"/>
      <color indexed="81"/>
      <name val="Tahoma"/>
      <family val="2"/>
    </font>
    <font>
      <b/>
      <sz val="11"/>
      <name val="AvantGarde Bk BT"/>
    </font>
    <font>
      <b/>
      <sz val="11"/>
      <color theme="3" tint="0.39997558519241921"/>
      <name val="AvantGarde Bk BT"/>
      <family val="2"/>
    </font>
    <font>
      <b/>
      <sz val="9"/>
      <color rgb="FFFF0000"/>
      <name val="Calibri"/>
      <family val="2"/>
      <scheme val="minor"/>
    </font>
    <font>
      <b/>
      <sz val="11"/>
      <color rgb="FF0066CC"/>
      <name val="Calibri"/>
      <family val="2"/>
      <scheme val="minor"/>
    </font>
    <font>
      <b/>
      <sz val="10"/>
      <color theme="1"/>
      <name val="Arial Black"/>
      <family val="2"/>
    </font>
    <font>
      <sz val="12"/>
      <color rgb="FFFF0066"/>
      <name val="Arial"/>
      <family val="2"/>
    </font>
    <font>
      <sz val="12"/>
      <color theme="3" tint="0.39997558519241921"/>
      <name val="Arial"/>
      <family val="2"/>
    </font>
    <font>
      <b/>
      <sz val="12"/>
      <color theme="1"/>
      <name val="Calibri"/>
      <family val="2"/>
      <scheme val="minor"/>
    </font>
    <font>
      <b/>
      <sz val="14"/>
      <color theme="3" tint="0.39997558519241921"/>
      <name val="Arial"/>
      <family val="2"/>
    </font>
    <font>
      <sz val="9"/>
      <name val="Arial Narrow"/>
      <family val="2"/>
    </font>
    <font>
      <sz val="14"/>
      <name val="Arial"/>
      <family val="2"/>
    </font>
    <font>
      <sz val="14"/>
      <color theme="1"/>
      <name val="Arial"/>
      <family val="2"/>
    </font>
    <font>
      <strike/>
      <sz val="12"/>
      <name val="Arial"/>
      <family val="2"/>
    </font>
    <font>
      <sz val="11"/>
      <color theme="0"/>
      <name val="AvantGarde Bk BT"/>
    </font>
    <font>
      <i/>
      <sz val="14"/>
      <color theme="1"/>
      <name val="Calibri"/>
      <family val="2"/>
      <scheme val="minor"/>
    </font>
    <font>
      <sz val="11"/>
      <color theme="9" tint="-0.249977111117893"/>
      <name val="AvantGarde Bk BT"/>
    </font>
    <font>
      <b/>
      <sz val="16"/>
      <name val="Arial"/>
      <family val="2"/>
    </font>
    <font>
      <b/>
      <sz val="14"/>
      <color rgb="FFFF0000"/>
      <name val="Arial"/>
      <family val="2"/>
    </font>
    <font>
      <sz val="12"/>
      <color rgb="FF000000"/>
      <name val="Arial"/>
      <family val="2"/>
    </font>
    <font>
      <b/>
      <sz val="14"/>
      <name val="Arial Black"/>
      <family val="2"/>
    </font>
    <font>
      <sz val="11"/>
      <color indexed="81"/>
      <name val="Tahoma"/>
      <family val="2"/>
    </font>
    <font>
      <b/>
      <sz val="16"/>
      <name val="Arial Black"/>
      <family val="2"/>
    </font>
    <font>
      <b/>
      <sz val="11"/>
      <color theme="3" tint="0.39997558519241921"/>
      <name val="AvantGarde Bk BT"/>
    </font>
    <font>
      <b/>
      <sz val="12"/>
      <color rgb="FFFF0066"/>
      <name val="Arial"/>
      <family val="2"/>
    </font>
    <font>
      <sz val="9"/>
      <name val="Arial"/>
      <family val="2"/>
    </font>
    <font>
      <b/>
      <sz val="12"/>
      <color theme="3" tint="0.39997558519241921"/>
      <name val="AvantGarde Bk BT"/>
    </font>
    <font>
      <sz val="10"/>
      <color theme="1"/>
      <name val="Calibri"/>
      <family val="2"/>
      <scheme val="minor"/>
    </font>
    <font>
      <b/>
      <sz val="10"/>
      <color rgb="FFFF0000"/>
      <name val="Calibri"/>
      <family val="2"/>
      <scheme val="minor"/>
    </font>
    <font>
      <i/>
      <sz val="11"/>
      <color rgb="FFFF0000"/>
      <name val="Calibri"/>
      <family val="2"/>
      <scheme val="minor"/>
    </font>
    <font>
      <sz val="14"/>
      <color theme="9" tint="-0.249977111117893"/>
      <name val="Calibri"/>
      <family val="2"/>
      <scheme val="minor"/>
    </font>
    <font>
      <sz val="16"/>
      <color theme="0"/>
      <name val="Calibri"/>
      <family val="2"/>
      <scheme val="minor"/>
    </font>
    <font>
      <b/>
      <sz val="11"/>
      <name val="Calibri"/>
      <family val="2"/>
      <scheme val="minor"/>
    </font>
    <font>
      <b/>
      <sz val="12"/>
      <color theme="0"/>
      <name val="Arial Black"/>
      <family val="2"/>
    </font>
    <font>
      <b/>
      <sz val="14"/>
      <color rgb="FFFF0000"/>
      <name val="Calibri"/>
      <family val="2"/>
      <scheme val="minor"/>
    </font>
    <font>
      <sz val="14"/>
      <color rgb="FFFF0000"/>
      <name val="Calibri"/>
      <family val="2"/>
    </font>
    <font>
      <b/>
      <sz val="11"/>
      <color rgb="FFFF0000"/>
      <name val="AvantGarde Bk BT"/>
    </font>
    <font>
      <b/>
      <sz val="11"/>
      <color rgb="FF0070C0"/>
      <name val="Calibri"/>
      <family val="2"/>
      <scheme val="minor"/>
    </font>
    <font>
      <b/>
      <sz val="9"/>
      <color rgb="FFFF0000"/>
      <name val="Arial"/>
      <family val="2"/>
    </font>
    <font>
      <b/>
      <sz val="11"/>
      <color theme="4" tint="-0.499984740745262"/>
      <name val="Calibri"/>
      <family val="2"/>
      <scheme val="minor"/>
    </font>
    <font>
      <b/>
      <sz val="11"/>
      <color theme="9" tint="-0.499984740745262"/>
      <name val="AvantGarde Bk BT"/>
    </font>
    <font>
      <b/>
      <sz val="11"/>
      <color theme="9" tint="-0.499984740745262"/>
      <name val="AvantGarde Bk BT"/>
      <family val="2"/>
    </font>
    <font>
      <b/>
      <sz val="11"/>
      <color theme="9" tint="-0.499984740745262"/>
      <name val="Calibri"/>
      <family val="2"/>
      <scheme val="minor"/>
    </font>
    <font>
      <b/>
      <sz val="11"/>
      <color rgb="FF002060"/>
      <name val="Calibri"/>
      <family val="2"/>
      <scheme val="minor"/>
    </font>
    <font>
      <b/>
      <sz val="11"/>
      <color rgb="FF002060"/>
      <name val="AvantGarde Bk BT"/>
      <family val="2"/>
    </font>
    <font>
      <sz val="9"/>
      <color theme="1"/>
      <name val="Arial"/>
      <family val="2"/>
    </font>
    <font>
      <sz val="9"/>
      <color rgb="FFFF0000"/>
      <name val="Arial"/>
      <family val="2"/>
    </font>
    <font>
      <sz val="9"/>
      <color theme="1"/>
      <name val="Calibri"/>
      <family val="2"/>
      <scheme val="minor"/>
    </font>
    <font>
      <strike/>
      <sz val="8"/>
      <name val="Arial"/>
      <family val="2"/>
    </font>
    <font>
      <sz val="8"/>
      <color theme="1"/>
      <name val="Arial"/>
      <family val="2"/>
    </font>
    <font>
      <sz val="8"/>
      <color rgb="FFFF0000"/>
      <name val="Arial"/>
      <family val="2"/>
    </font>
    <font>
      <sz val="8"/>
      <color theme="1"/>
      <name val="Calibri"/>
      <family val="2"/>
      <scheme val="minor"/>
    </font>
    <font>
      <b/>
      <sz val="9"/>
      <color theme="1"/>
      <name val="Arial"/>
      <family val="2"/>
    </font>
    <font>
      <b/>
      <sz val="14"/>
      <color rgb="FF00B0F0"/>
      <name val="Calibri"/>
      <family val="2"/>
      <scheme val="minor"/>
    </font>
    <font>
      <b/>
      <sz val="14"/>
      <color indexed="18"/>
      <name val="Calibri"/>
      <family val="2"/>
      <scheme val="minor"/>
    </font>
    <font>
      <strike/>
      <sz val="14"/>
      <name val="Calibri"/>
      <family val="2"/>
      <scheme val="minor"/>
    </font>
    <font>
      <sz val="14"/>
      <color rgb="FF000000"/>
      <name val="Calibri"/>
      <family val="2"/>
      <scheme val="minor"/>
    </font>
    <font>
      <b/>
      <sz val="14"/>
      <color theme="3" tint="0.39997558519241921"/>
      <name val="Calibri"/>
      <family val="2"/>
      <scheme val="minor"/>
    </font>
    <font>
      <sz val="11"/>
      <color theme="0"/>
      <name val="Calibri"/>
      <family val="2"/>
      <scheme val="minor"/>
    </font>
    <font>
      <sz val="14"/>
      <color rgb="FF00B0F0"/>
      <name val="Calibri"/>
      <family val="2"/>
      <scheme val="minor"/>
    </font>
    <font>
      <b/>
      <i/>
      <u/>
      <sz val="14"/>
      <color rgb="FFFF0000"/>
      <name val="Calibri"/>
      <family val="2"/>
      <scheme val="minor"/>
    </font>
  </fonts>
  <fills count="75">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0" tint="-0.14999847407452621"/>
        <bgColor indexed="64"/>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6"/>
      </patternFill>
    </fill>
    <fill>
      <patternFill patternType="solid">
        <fgColor indexed="10"/>
      </patternFill>
    </fill>
    <fill>
      <patternFill patternType="solid">
        <fgColor indexed="54"/>
      </patternFill>
    </fill>
    <fill>
      <patternFill patternType="solid">
        <fgColor indexed="43"/>
        <bgColor indexed="43"/>
      </patternFill>
    </fill>
    <fill>
      <patternFill patternType="solid">
        <fgColor indexed="8"/>
        <bgColor indexed="8"/>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4" tint="0.59999389629810485"/>
        <bgColor indexed="64"/>
      </patternFill>
    </fill>
    <fill>
      <patternFill patternType="solid">
        <fgColor rgb="FF0066FF"/>
        <bgColor indexed="64"/>
      </patternFill>
    </fill>
    <fill>
      <patternFill patternType="solid">
        <fgColor rgb="FFE9987F"/>
        <bgColor indexed="64"/>
      </patternFill>
    </fill>
    <fill>
      <patternFill patternType="solid">
        <fgColor rgb="FF0070C0"/>
        <bgColor indexed="64"/>
      </patternFill>
    </fill>
    <fill>
      <gradientFill degree="90">
        <stop position="0">
          <color theme="3" tint="-0.49803155613879818"/>
        </stop>
        <stop position="0.5">
          <color theme="4"/>
        </stop>
        <stop position="1">
          <color theme="3" tint="-0.49803155613879818"/>
        </stop>
      </gradientFill>
    </fill>
    <fill>
      <patternFill patternType="solid">
        <fgColor rgb="FF0066CC"/>
        <bgColor indexed="64"/>
      </patternFill>
    </fill>
    <fill>
      <patternFill patternType="solid">
        <fgColor rgb="FF00FF99"/>
        <bgColor indexed="64"/>
      </patternFill>
    </fill>
    <fill>
      <patternFill patternType="solid">
        <fgColor rgb="FFFF99FF"/>
        <bgColor indexed="64"/>
      </patternFill>
    </fill>
    <fill>
      <patternFill patternType="solid">
        <fgColor rgb="FFFFFF00"/>
        <bgColor indexed="64"/>
      </patternFill>
    </fill>
    <fill>
      <patternFill patternType="solid">
        <fgColor theme="4" tint="-0.499984740745262"/>
        <bgColor indexed="64"/>
      </patternFill>
    </fill>
    <fill>
      <patternFill patternType="solid">
        <fgColor theme="1"/>
        <bgColor indexed="56"/>
      </patternFill>
    </fill>
    <fill>
      <patternFill patternType="solid">
        <fgColor theme="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0066"/>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auto="1"/>
      </patternFill>
    </fill>
    <fill>
      <patternFill patternType="solid">
        <fgColor theme="0"/>
        <bgColor indexed="56"/>
      </patternFill>
    </fill>
    <fill>
      <patternFill patternType="solid">
        <fgColor rgb="FFFFFFFF"/>
        <bgColor indexed="64"/>
      </patternFill>
    </fill>
    <fill>
      <patternFill patternType="solid">
        <fgColor theme="6" tint="0.59999389629810485"/>
        <bgColor indexed="64"/>
      </patternFill>
    </fill>
    <fill>
      <gradientFill degree="135">
        <stop position="0">
          <color theme="3" tint="-0.49803155613879818"/>
        </stop>
        <stop position="0.5">
          <color theme="4"/>
        </stop>
        <stop position="1">
          <color theme="3" tint="-0.49803155613879818"/>
        </stop>
      </gradient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2"/>
      </left>
      <right style="thin">
        <color indexed="62"/>
      </right>
      <top style="thin">
        <color indexed="62"/>
      </top>
      <bottom style="thin">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4"/>
      </bottom>
      <diagonal/>
    </border>
    <border>
      <left/>
      <right/>
      <top/>
      <bottom style="thick">
        <color indexed="22"/>
      </bottom>
      <diagonal/>
    </border>
    <border>
      <left/>
      <right/>
      <top/>
      <bottom style="medium">
        <color indexed="44"/>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theme="3" tint="0.39997558519241921"/>
      </right>
      <top/>
      <bottom style="medium">
        <color rgb="FF7030A0"/>
      </bottom>
      <diagonal/>
    </border>
    <border>
      <left style="thin">
        <color theme="3" tint="0.39997558519241921"/>
      </left>
      <right style="thin">
        <color theme="3" tint="0.39997558519241921"/>
      </right>
      <top/>
      <bottom style="medium">
        <color rgb="FF7030A0"/>
      </bottom>
      <diagonal/>
    </border>
    <border>
      <left/>
      <right/>
      <top/>
      <bottom style="medium">
        <color rgb="FF7030A0"/>
      </bottom>
      <diagonal/>
    </border>
    <border>
      <left style="thin">
        <color theme="3" tint="0.39997558519241921"/>
      </left>
      <right/>
      <top/>
      <bottom style="medium">
        <color rgb="FF7030A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3" tint="0.39997558519241921"/>
      </right>
      <top/>
      <bottom/>
      <diagonal/>
    </border>
    <border>
      <left style="thin">
        <color theme="3" tint="0.39997558519241921"/>
      </left>
      <right style="thin">
        <color theme="3" tint="0.39997558519241921"/>
      </right>
      <top/>
      <bottom/>
      <diagonal/>
    </border>
    <border>
      <left style="thin">
        <color theme="3" tint="0.39997558519241921"/>
      </left>
      <right/>
      <top/>
      <bottom/>
      <diagonal/>
    </border>
    <border>
      <left/>
      <right/>
      <top style="medium">
        <color indexed="64"/>
      </top>
      <bottom style="thin">
        <color indexed="64"/>
      </bottom>
      <diagonal/>
    </border>
    <border>
      <left style="medium">
        <color rgb="FFFF0066"/>
      </left>
      <right style="thin">
        <color indexed="64"/>
      </right>
      <top style="medium">
        <color rgb="FFFF0066"/>
      </top>
      <bottom style="thin">
        <color indexed="64"/>
      </bottom>
      <diagonal/>
    </border>
    <border>
      <left style="thin">
        <color indexed="64"/>
      </left>
      <right style="thin">
        <color indexed="64"/>
      </right>
      <top style="medium">
        <color rgb="FFFF0066"/>
      </top>
      <bottom style="thin">
        <color indexed="64"/>
      </bottom>
      <diagonal/>
    </border>
    <border>
      <left style="thin">
        <color indexed="64"/>
      </left>
      <right style="thin">
        <color indexed="64"/>
      </right>
      <top style="medium">
        <color rgb="FFFF0066"/>
      </top>
      <bottom/>
      <diagonal/>
    </border>
    <border>
      <left style="thin">
        <color indexed="64"/>
      </left>
      <right/>
      <top style="medium">
        <color rgb="FFFF0066"/>
      </top>
      <bottom style="thin">
        <color indexed="64"/>
      </bottom>
      <diagonal/>
    </border>
    <border>
      <left style="thin">
        <color indexed="64"/>
      </left>
      <right style="medium">
        <color rgb="FFFF0066"/>
      </right>
      <top style="medium">
        <color rgb="FFFF0066"/>
      </top>
      <bottom style="thin">
        <color indexed="64"/>
      </bottom>
      <diagonal/>
    </border>
    <border>
      <left style="medium">
        <color rgb="FFFF0066"/>
      </left>
      <right style="thin">
        <color indexed="64"/>
      </right>
      <top style="thin">
        <color indexed="64"/>
      </top>
      <bottom style="thin">
        <color indexed="64"/>
      </bottom>
      <diagonal/>
    </border>
    <border>
      <left style="thin">
        <color indexed="64"/>
      </left>
      <right style="medium">
        <color rgb="FFFF0066"/>
      </right>
      <top style="thin">
        <color indexed="64"/>
      </top>
      <bottom style="thin">
        <color indexed="64"/>
      </bottom>
      <diagonal/>
    </border>
    <border>
      <left style="medium">
        <color rgb="FFFF0066"/>
      </left>
      <right style="thin">
        <color indexed="64"/>
      </right>
      <top style="thin">
        <color indexed="64"/>
      </top>
      <bottom style="medium">
        <color rgb="FFFF0066"/>
      </bottom>
      <diagonal/>
    </border>
    <border>
      <left style="thin">
        <color indexed="64"/>
      </left>
      <right style="thin">
        <color indexed="64"/>
      </right>
      <top style="thin">
        <color indexed="64"/>
      </top>
      <bottom style="medium">
        <color rgb="FFFF0066"/>
      </bottom>
      <diagonal/>
    </border>
    <border>
      <left style="thin">
        <color indexed="64"/>
      </left>
      <right style="medium">
        <color rgb="FFFF0066"/>
      </right>
      <top style="thin">
        <color indexed="64"/>
      </top>
      <bottom style="medium">
        <color rgb="FFFF0066"/>
      </bottom>
      <diagonal/>
    </border>
  </borders>
  <cellStyleXfs count="761">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4" fillId="0" borderId="0"/>
    <xf numFmtId="0" fontId="5" fillId="0" borderId="0" applyNumberFormat="0" applyFill="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5" borderId="0" applyNumberFormat="0" applyBorder="0" applyAlignment="0" applyProtection="0"/>
    <xf numFmtId="0" fontId="29" fillId="8" borderId="0" applyNumberFormat="0" applyBorder="0" applyAlignment="0" applyProtection="0"/>
    <xf numFmtId="0" fontId="29" fillId="13" borderId="0" applyNumberFormat="0" applyBorder="0" applyAlignment="0" applyProtection="0"/>
    <xf numFmtId="0" fontId="29" fillId="9" borderId="0" applyNumberFormat="0" applyBorder="0" applyAlignment="0" applyProtection="0"/>
    <xf numFmtId="0" fontId="29"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6"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30" fillId="30" borderId="0" applyNumberFormat="0" applyBorder="0" applyAlignment="0" applyProtection="0"/>
    <xf numFmtId="0" fontId="33" fillId="13" borderId="0" applyNumberFormat="0" applyBorder="0" applyAlignment="0" applyProtection="0"/>
    <xf numFmtId="0" fontId="29" fillId="17" borderId="19" applyNumberFormat="0" applyAlignment="0" applyProtection="0"/>
    <xf numFmtId="0" fontId="29" fillId="17" borderId="19" applyNumberFormat="0" applyAlignment="0" applyProtection="0"/>
    <xf numFmtId="0" fontId="31" fillId="31" borderId="20" applyNumberFormat="0" applyAlignment="0" applyProtection="0"/>
    <xf numFmtId="0" fontId="39" fillId="32" borderId="21" applyNumberFormat="0" applyAlignment="0" applyProtection="0"/>
    <xf numFmtId="0" fontId="5" fillId="0" borderId="22" applyNumberFormat="0" applyFill="0" applyAlignment="0" applyProtection="0"/>
    <xf numFmtId="0" fontId="31" fillId="0" borderId="0" applyNumberFormat="0" applyFill="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6" fillId="0" borderId="0" applyNumberFormat="0" applyFill="0" applyBorder="0" applyAlignment="0" applyProtection="0"/>
    <xf numFmtId="0" fontId="29" fillId="36" borderId="0" applyNumberFormat="0" applyBorder="0" applyAlignment="0" applyProtection="0"/>
    <xf numFmtId="0" fontId="29" fillId="16" borderId="0" applyNumberFormat="0" applyBorder="0" applyAlignment="0" applyProtection="0"/>
    <xf numFmtId="0" fontId="29" fillId="15" borderId="0" applyNumberFormat="0" applyBorder="0" applyAlignment="0" applyProtection="0"/>
    <xf numFmtId="0" fontId="29" fillId="38" borderId="0" applyNumberFormat="0" applyBorder="0" applyAlignment="0" applyProtection="0"/>
    <xf numFmtId="0" fontId="29" fillId="17" borderId="0" applyNumberFormat="0" applyBorder="0" applyAlignment="0" applyProtection="0"/>
    <xf numFmtId="0" fontId="29" fillId="37" borderId="0" applyNumberFormat="0" applyBorder="0" applyAlignment="0" applyProtection="0"/>
    <xf numFmtId="0" fontId="46" fillId="14" borderId="20" applyNumberFormat="0" applyAlignment="0" applyProtection="0"/>
    <xf numFmtId="166" fontId="2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70" fontId="2" fillId="0" borderId="0" applyFont="0" applyFill="0" applyBorder="0" applyAlignment="0" applyProtection="0"/>
    <xf numFmtId="166" fontId="2" fillId="0" borderId="0" applyFont="0" applyFill="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4" fillId="0" borderId="23" applyNumberFormat="0" applyFill="0" applyAlignment="0" applyProtection="0"/>
    <xf numFmtId="0" fontId="35" fillId="0" borderId="24" applyNumberFormat="0" applyFill="0" applyAlignment="0" applyProtection="0"/>
    <xf numFmtId="0" fontId="36" fillId="0" borderId="25" applyNumberFormat="0" applyFill="0" applyAlignment="0" applyProtection="0"/>
    <xf numFmtId="0" fontId="36" fillId="0" borderId="0" applyNumberFormat="0" applyFill="0" applyBorder="0" applyAlignment="0" applyProtection="0"/>
    <xf numFmtId="0" fontId="47" fillId="11" borderId="0" applyNumberFormat="0" applyBorder="0" applyAlignment="0" applyProtection="0"/>
    <xf numFmtId="0" fontId="37" fillId="7" borderId="26" applyNumberFormat="0" applyAlignment="0" applyProtection="0"/>
    <xf numFmtId="0" fontId="38" fillId="39" borderId="27" applyNumberFormat="0" applyFont="0" applyAlignment="0" applyProtection="0"/>
    <xf numFmtId="43" fontId="2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4"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69"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4" fontId="4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2" fillId="0" borderId="0" applyFont="0" applyFill="0" applyBorder="0" applyAlignment="0" applyProtection="0"/>
    <xf numFmtId="0" fontId="50" fillId="14" borderId="0" applyNumberFormat="0" applyBorder="0" applyAlignment="0" applyProtection="0"/>
    <xf numFmtId="0" fontId="52" fillId="0" borderId="0"/>
    <xf numFmtId="0" fontId="2" fillId="0" borderId="0"/>
    <xf numFmtId="0" fontId="52" fillId="0" borderId="0"/>
    <xf numFmtId="0" fontId="28" fillId="0" borderId="0"/>
    <xf numFmtId="0" fontId="28" fillId="0" borderId="0"/>
    <xf numFmtId="0" fontId="2" fillId="0" borderId="0"/>
    <xf numFmtId="0" fontId="41"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 fillId="0" borderId="0"/>
    <xf numFmtId="0"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2" fillId="0" borderId="0"/>
    <xf numFmtId="0" fontId="4" fillId="0" borderId="0"/>
    <xf numFmtId="0" fontId="4" fillId="0" borderId="0"/>
    <xf numFmtId="0" fontId="28"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1" fillId="0" borderId="0"/>
    <xf numFmtId="0" fontId="4" fillId="0" borderId="0"/>
    <xf numFmtId="0" fontId="28" fillId="0" borderId="0"/>
    <xf numFmtId="0" fontId="28" fillId="0" borderId="0"/>
    <xf numFmtId="0" fontId="2" fillId="0" borderId="0"/>
    <xf numFmtId="0" fontId="2" fillId="0" borderId="0"/>
    <xf numFmtId="0" fontId="1" fillId="0" borderId="0"/>
    <xf numFmtId="0"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10" borderId="28" applyNumberFormat="0" applyFont="0" applyAlignment="0" applyProtection="0"/>
    <xf numFmtId="0" fontId="2" fillId="10" borderId="28" applyNumberFormat="0" applyFont="0" applyAlignment="0" applyProtection="0"/>
    <xf numFmtId="0" fontId="2" fillId="10" borderId="28" applyNumberFormat="0" applyFont="0" applyAlignment="0" applyProtection="0"/>
    <xf numFmtId="0" fontId="38" fillId="22" borderId="28" applyNumberFormat="0" applyFont="0" applyAlignment="0" applyProtection="0"/>
    <xf numFmtId="0" fontId="39" fillId="40" borderId="29" applyNumberFormat="0" applyAlignment="0" applyProtection="0"/>
    <xf numFmtId="0" fontId="39" fillId="40" borderId="29" applyNumberFormat="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0" fontId="48" fillId="31" borderId="30" applyNumberFormat="0" applyAlignment="0" applyProtection="0"/>
    <xf numFmtId="0" fontId="40" fillId="0" borderId="0" applyNumberFormat="0" applyFill="0" applyBorder="0" applyAlignment="0" applyProtection="0"/>
    <xf numFmtId="0" fontId="28" fillId="0" borderId="0"/>
    <xf numFmtId="0" fontId="2" fillId="0" borderId="0"/>
    <xf numFmtId="0" fontId="5" fillId="0" borderId="0" applyNumberFormat="0" applyFill="0" applyBorder="0" applyAlignment="0" applyProtection="0"/>
    <xf numFmtId="0" fontId="49" fillId="0" borderId="0" applyNumberFormat="0" applyFill="0" applyBorder="0" applyAlignment="0" applyProtection="0"/>
    <xf numFmtId="0" fontId="34" fillId="0" borderId="31" applyNumberFormat="0" applyFill="0" applyAlignment="0" applyProtection="0"/>
    <xf numFmtId="0" fontId="35" fillId="0" borderId="32" applyNumberFormat="0" applyFill="0" applyAlignment="0" applyProtection="0"/>
    <xf numFmtId="0" fontId="36" fillId="0" borderId="33" applyNumberFormat="0" applyFill="0" applyAlignment="0" applyProtection="0"/>
    <xf numFmtId="0" fontId="51" fillId="0" borderId="0" applyNumberFormat="0" applyFill="0" applyBorder="0" applyAlignment="0" applyProtection="0"/>
    <xf numFmtId="0" fontId="32" fillId="0" borderId="34" applyNumberFormat="0" applyFill="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1029">
    <xf numFmtId="0" fontId="0" fillId="0" borderId="0" xfId="0"/>
    <xf numFmtId="165" fontId="0" fillId="2" borderId="0" xfId="0" applyNumberFormat="1" applyFill="1"/>
    <xf numFmtId="0" fontId="6" fillId="0" borderId="4" xfId="0" applyFont="1" applyBorder="1" applyAlignment="1">
      <alignment vertical="center"/>
    </xf>
    <xf numFmtId="4" fontId="7" fillId="0" borderId="7" xfId="0" applyNumberFormat="1" applyFont="1" applyBorder="1" applyAlignment="1">
      <alignment vertical="center"/>
    </xf>
    <xf numFmtId="0" fontId="6" fillId="0" borderId="0" xfId="0" applyFont="1" applyAlignment="1">
      <alignment horizontal="left"/>
    </xf>
    <xf numFmtId="4" fontId="10" fillId="0" borderId="0" xfId="0" applyNumberFormat="1" applyFont="1" applyAlignment="1">
      <alignment horizontal="left"/>
    </xf>
    <xf numFmtId="0" fontId="10" fillId="0" borderId="0" xfId="0" applyFont="1" applyAlignment="1">
      <alignment horizontal="center"/>
    </xf>
    <xf numFmtId="43" fontId="7" fillId="2" borderId="8" xfId="1" applyFont="1" applyFill="1" applyBorder="1" applyAlignment="1">
      <alignment horizontal="right" vertical="center"/>
    </xf>
    <xf numFmtId="4" fontId="7" fillId="0" borderId="4" xfId="3" applyNumberFormat="1" applyFont="1" applyBorder="1" applyAlignment="1">
      <alignment horizontal="right" vertical="center"/>
    </xf>
    <xf numFmtId="4" fontId="7" fillId="0" borderId="7" xfId="3" applyNumberFormat="1" applyFont="1" applyBorder="1" applyAlignment="1">
      <alignment horizontal="right" vertical="center"/>
    </xf>
    <xf numFmtId="0" fontId="6" fillId="2" borderId="4" xfId="0" applyFont="1" applyFill="1" applyBorder="1" applyAlignment="1">
      <alignment horizontal="left" vertical="center" wrapText="1"/>
    </xf>
    <xf numFmtId="0" fontId="6" fillId="2" borderId="8" xfId="0" applyFont="1" applyFill="1" applyBorder="1" applyAlignment="1">
      <alignment vertical="center" wrapText="1"/>
    </xf>
    <xf numFmtId="0" fontId="7" fillId="0" borderId="0" xfId="0" applyFont="1" applyAlignment="1">
      <alignment horizontal="center"/>
    </xf>
    <xf numFmtId="4" fontId="10" fillId="0" borderId="0" xfId="0" applyNumberFormat="1" applyFont="1"/>
    <xf numFmtId="0" fontId="7"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4" fontId="10" fillId="3" borderId="3" xfId="1" applyNumberFormat="1" applyFont="1" applyFill="1" applyBorder="1" applyAlignment="1">
      <alignment horizontal="center" vertical="center" wrapText="1"/>
    </xf>
    <xf numFmtId="4" fontId="10" fillId="3" borderId="4" xfId="1" applyNumberFormat="1" applyFont="1" applyFill="1" applyBorder="1" applyAlignment="1">
      <alignment horizontal="center" vertical="center" wrapText="1"/>
    </xf>
    <xf numFmtId="0" fontId="13" fillId="0" borderId="5" xfId="0" applyFont="1" applyBorder="1" applyAlignment="1">
      <alignment horizontal="center"/>
    </xf>
    <xf numFmtId="0" fontId="6" fillId="2" borderId="4" xfId="0" applyFont="1" applyFill="1" applyBorder="1" applyAlignment="1">
      <alignment horizontal="center" vertical="center"/>
    </xf>
    <xf numFmtId="0" fontId="7" fillId="0" borderId="6" xfId="0" applyFont="1" applyBorder="1" applyAlignment="1">
      <alignment horizontal="center" vertical="center"/>
    </xf>
    <xf numFmtId="0" fontId="6" fillId="0" borderId="6" xfId="0" applyFont="1" applyBorder="1" applyAlignment="1">
      <alignment horizontal="justify" vertical="center"/>
    </xf>
    <xf numFmtId="43" fontId="7" fillId="0" borderId="6" xfId="2" applyNumberFormat="1" applyFont="1" applyBorder="1" applyAlignment="1">
      <alignment horizontal="right"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justify" vertical="center" wrapText="1"/>
    </xf>
    <xf numFmtId="4" fontId="7" fillId="0" borderId="0" xfId="0" applyNumberFormat="1" applyFont="1" applyAlignment="1">
      <alignment vertical="center"/>
    </xf>
    <xf numFmtId="4" fontId="7" fillId="0" borderId="7" xfId="0" applyNumberFormat="1" applyFont="1" applyBorder="1" applyAlignment="1">
      <alignment horizontal="right" vertical="center"/>
    </xf>
    <xf numFmtId="0" fontId="6" fillId="0" borderId="0" xfId="0" applyFont="1" applyAlignment="1">
      <alignment horizontal="left" vertical="center" wrapText="1"/>
    </xf>
    <xf numFmtId="4" fontId="13" fillId="0" borderId="0" xfId="1" applyNumberFormat="1" applyFont="1" applyAlignment="1">
      <alignment horizontal="right" vertical="center"/>
    </xf>
    <xf numFmtId="4" fontId="7" fillId="0" borderId="7" xfId="0" applyNumberFormat="1" applyFont="1" applyBorder="1" applyAlignment="1">
      <alignment horizontal="justify"/>
    </xf>
    <xf numFmtId="0" fontId="6" fillId="2" borderId="8" xfId="0" applyFont="1" applyFill="1" applyBorder="1" applyAlignment="1">
      <alignment horizontal="center" vertical="center"/>
    </xf>
    <xf numFmtId="0" fontId="6" fillId="0" borderId="0" xfId="0" applyFont="1" applyAlignment="1">
      <alignment horizontal="center" vertical="center"/>
    </xf>
    <xf numFmtId="4" fontId="11" fillId="0" borderId="0" xfId="1" applyNumberFormat="1" applyFont="1" applyAlignment="1">
      <alignment horizontal="right" vertical="center"/>
    </xf>
    <xf numFmtId="4" fontId="7" fillId="0" borderId="7" xfId="0" applyNumberFormat="1" applyFont="1" applyBorder="1" applyAlignment="1">
      <alignment horizontal="right"/>
    </xf>
    <xf numFmtId="0" fontId="6" fillId="0" borderId="5" xfId="0" applyFont="1" applyBorder="1" applyAlignment="1">
      <alignment horizontal="justify" vertical="center" wrapText="1"/>
    </xf>
    <xf numFmtId="4" fontId="7" fillId="2" borderId="0" xfId="0" applyNumberFormat="1" applyFont="1" applyFill="1" applyAlignment="1">
      <alignment vertical="center"/>
    </xf>
    <xf numFmtId="4" fontId="7" fillId="2" borderId="8" xfId="0" applyNumberFormat="1" applyFont="1" applyFill="1" applyBorder="1" applyAlignment="1">
      <alignment vertical="center"/>
    </xf>
    <xf numFmtId="4" fontId="15" fillId="0" borderId="0" xfId="1" applyNumberFormat="1" applyFont="1" applyAlignment="1">
      <alignment horizontal="right" vertical="center"/>
    </xf>
    <xf numFmtId="4" fontId="16" fillId="0" borderId="7" xfId="0" applyNumberFormat="1" applyFont="1" applyBorder="1" applyAlignment="1">
      <alignment horizontal="right" vertical="center"/>
    </xf>
    <xf numFmtId="0" fontId="13" fillId="2" borderId="5" xfId="0" applyFont="1" applyFill="1" applyBorder="1" applyAlignment="1">
      <alignment horizontal="center"/>
    </xf>
    <xf numFmtId="0" fontId="6" fillId="2" borderId="0" xfId="0" applyFont="1" applyFill="1" applyAlignment="1">
      <alignment horizontal="left" vertical="center" wrapText="1"/>
    </xf>
    <xf numFmtId="4" fontId="13" fillId="2" borderId="0" xfId="1" applyNumberFormat="1" applyFont="1" applyFill="1" applyAlignment="1">
      <alignment horizontal="right" vertical="center"/>
    </xf>
    <xf numFmtId="4" fontId="7" fillId="2" borderId="7" xfId="0" applyNumberFormat="1" applyFont="1" applyFill="1" applyBorder="1" applyAlignment="1">
      <alignment vertical="center"/>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12" fillId="2" borderId="0" xfId="0" applyFont="1" applyFill="1" applyAlignment="1">
      <alignment horizontal="left" vertical="center" wrapText="1" indent="1"/>
    </xf>
    <xf numFmtId="0" fontId="7" fillId="0" borderId="6" xfId="0" applyFont="1" applyBorder="1" applyAlignment="1">
      <alignment horizontal="center" vertical="center" wrapText="1"/>
    </xf>
    <xf numFmtId="4" fontId="7" fillId="0" borderId="6" xfId="0" applyNumberFormat="1" applyFont="1" applyBorder="1" applyAlignment="1">
      <alignment vertical="center"/>
    </xf>
    <xf numFmtId="0" fontId="6" fillId="2" borderId="0" xfId="0" applyFont="1" applyFill="1" applyAlignment="1">
      <alignment vertical="center" wrapText="1"/>
    </xf>
    <xf numFmtId="4" fontId="15" fillId="0" borderId="0" xfId="0" applyNumberFormat="1" applyFont="1" applyAlignment="1">
      <alignment horizontal="right" vertical="center"/>
    </xf>
    <xf numFmtId="0" fontId="6" fillId="0" borderId="0" xfId="0" applyFont="1" applyAlignment="1">
      <alignment vertical="center"/>
    </xf>
    <xf numFmtId="0" fontId="7" fillId="0" borderId="11" xfId="0" applyFont="1" applyBorder="1" applyAlignment="1">
      <alignment horizontal="center" vertical="center"/>
    </xf>
    <xf numFmtId="4" fontId="6" fillId="0" borderId="0" xfId="0" applyNumberFormat="1" applyFont="1" applyAlignment="1">
      <alignment vertical="center"/>
    </xf>
    <xf numFmtId="4" fontId="6" fillId="0" borderId="7" xfId="0" applyNumberFormat="1" applyFont="1" applyBorder="1" applyAlignment="1">
      <alignment vertical="center"/>
    </xf>
    <xf numFmtId="0" fontId="15" fillId="0" borderId="5" xfId="0" applyFont="1" applyBorder="1" applyAlignment="1">
      <alignment horizontal="center" vertical="center"/>
    </xf>
    <xf numFmtId="0" fontId="6" fillId="0" borderId="0" xfId="0" applyFont="1" applyAlignment="1">
      <alignment horizontal="left" vertical="center"/>
    </xf>
    <xf numFmtId="4" fontId="15" fillId="0" borderId="7" xfId="0" applyNumberFormat="1" applyFont="1" applyBorder="1" applyAlignment="1">
      <alignment horizontal="right" vertical="center"/>
    </xf>
    <xf numFmtId="4" fontId="7" fillId="2" borderId="13" xfId="0" applyNumberFormat="1" applyFont="1" applyFill="1" applyBorder="1" applyAlignment="1">
      <alignment vertical="center"/>
    </xf>
    <xf numFmtId="0" fontId="6" fillId="0" borderId="5" xfId="0" applyFont="1" applyBorder="1" applyAlignment="1">
      <alignment horizontal="center" vertical="center"/>
    </xf>
    <xf numFmtId="0" fontId="7" fillId="0" borderId="8" xfId="0" applyFont="1" applyBorder="1" applyAlignment="1">
      <alignment horizontal="center" vertical="center"/>
    </xf>
    <xf numFmtId="0" fontId="6" fillId="0" borderId="12" xfId="0" applyFont="1" applyBorder="1" applyAlignment="1">
      <alignment vertical="center"/>
    </xf>
    <xf numFmtId="4" fontId="6" fillId="0" borderId="12" xfId="0" applyNumberFormat="1" applyFont="1" applyBorder="1" applyAlignment="1">
      <alignment vertical="center"/>
    </xf>
    <xf numFmtId="0" fontId="7" fillId="2" borderId="0" xfId="0" applyFont="1" applyFill="1" applyAlignment="1">
      <alignment horizontal="center" vertical="center"/>
    </xf>
    <xf numFmtId="0" fontId="12" fillId="2" borderId="0" xfId="0" applyFont="1" applyFill="1" applyAlignment="1">
      <alignment vertical="center" wrapText="1"/>
    </xf>
    <xf numFmtId="0" fontId="17" fillId="2" borderId="4" xfId="0" applyFont="1" applyFill="1" applyBorder="1" applyAlignment="1">
      <alignment horizontal="justify" vertical="center" wrapText="1"/>
    </xf>
    <xf numFmtId="4" fontId="18" fillId="2" borderId="4" xfId="0" applyNumberFormat="1" applyFont="1" applyFill="1" applyBorder="1" applyAlignment="1">
      <alignment horizontal="right" vertical="center"/>
    </xf>
    <xf numFmtId="4" fontId="17" fillId="0" borderId="4" xfId="0" applyNumberFormat="1" applyFont="1" applyBorder="1" applyAlignment="1">
      <alignment wrapText="1"/>
    </xf>
    <xf numFmtId="4" fontId="18" fillId="2" borderId="4" xfId="0" applyNumberFormat="1" applyFont="1" applyFill="1" applyBorder="1" applyAlignment="1">
      <alignment horizontal="center" vertical="center" wrapText="1"/>
    </xf>
    <xf numFmtId="0" fontId="20" fillId="2" borderId="4" xfId="0" applyFont="1" applyFill="1" applyBorder="1" applyAlignment="1">
      <alignment horizontal="center" vertical="center"/>
    </xf>
    <xf numFmtId="0" fontId="21" fillId="0" borderId="4" xfId="0" applyFont="1" applyBorder="1" applyAlignment="1">
      <alignment horizontal="left" vertical="center" wrapText="1" readingOrder="1"/>
    </xf>
    <xf numFmtId="4" fontId="20" fillId="2" borderId="4" xfId="0" applyNumberFormat="1" applyFont="1" applyFill="1" applyBorder="1" applyAlignment="1">
      <alignment vertical="center"/>
    </xf>
    <xf numFmtId="4" fontId="20" fillId="2" borderId="4" xfId="3" applyNumberFormat="1" applyFont="1" applyFill="1" applyBorder="1" applyAlignment="1">
      <alignment horizontal="right" vertical="center"/>
    </xf>
    <xf numFmtId="0" fontId="21" fillId="2" borderId="4" xfId="0" applyFont="1" applyFill="1" applyBorder="1" applyAlignment="1">
      <alignment horizontal="left" vertical="center" wrapText="1" readingOrder="1"/>
    </xf>
    <xf numFmtId="0" fontId="20" fillId="2" borderId="4" xfId="0" applyFont="1" applyFill="1" applyBorder="1" applyAlignment="1">
      <alignment vertical="center" wrapText="1"/>
    </xf>
    <xf numFmtId="0" fontId="20" fillId="2" borderId="10" xfId="0" applyFont="1" applyFill="1" applyBorder="1" applyAlignment="1">
      <alignment horizontal="center" vertical="center"/>
    </xf>
    <xf numFmtId="0" fontId="20" fillId="2" borderId="10" xfId="0" applyFont="1" applyFill="1" applyBorder="1" applyAlignment="1">
      <alignment vertical="center" wrapText="1"/>
    </xf>
    <xf numFmtId="4" fontId="20" fillId="0" borderId="4" xfId="0" applyNumberFormat="1" applyFont="1" applyBorder="1" applyAlignment="1">
      <alignment vertical="center"/>
    </xf>
    <xf numFmtId="0" fontId="21" fillId="0" borderId="4" xfId="0" applyFont="1" applyBorder="1" applyAlignment="1">
      <alignment horizontal="justify" vertical="center" wrapText="1"/>
    </xf>
    <xf numFmtId="43" fontId="20" fillId="2" borderId="8" xfId="1" applyFont="1" applyFill="1" applyBorder="1" applyAlignment="1">
      <alignment horizontal="right" vertical="center"/>
    </xf>
    <xf numFmtId="0" fontId="21" fillId="2" borderId="4" xfId="6" applyFont="1" applyFill="1" applyBorder="1" applyAlignment="1">
      <alignment horizontal="left" vertical="center" wrapText="1"/>
    </xf>
    <xf numFmtId="43" fontId="20" fillId="2" borderId="4" xfId="1" applyFont="1" applyFill="1" applyBorder="1" applyAlignment="1">
      <alignment horizontal="right" vertical="center"/>
    </xf>
    <xf numFmtId="4" fontId="20" fillId="2" borderId="8" xfId="0" applyNumberFormat="1" applyFont="1" applyFill="1" applyBorder="1" applyAlignment="1">
      <alignment vertical="center"/>
    </xf>
    <xf numFmtId="0" fontId="20" fillId="0" borderId="4" xfId="0" applyFont="1" applyBorder="1" applyAlignment="1">
      <alignment horizontal="center" vertical="center"/>
    </xf>
    <xf numFmtId="0" fontId="21" fillId="2" borderId="4" xfId="0" applyFont="1" applyFill="1" applyBorder="1" applyAlignment="1">
      <alignment horizontal="justify" vertical="center" wrapText="1"/>
    </xf>
    <xf numFmtId="0" fontId="21" fillId="2" borderId="4"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1" fillId="2" borderId="4" xfId="0" applyFont="1" applyFill="1" applyBorder="1" applyAlignment="1">
      <alignment horizontal="center"/>
    </xf>
    <xf numFmtId="0" fontId="20" fillId="2" borderId="4" xfId="0" applyFont="1" applyFill="1" applyBorder="1" applyAlignment="1">
      <alignment horizontal="center" vertical="center" wrapText="1"/>
    </xf>
    <xf numFmtId="0" fontId="20" fillId="2" borderId="4" xfId="0" applyFont="1" applyFill="1" applyBorder="1" applyAlignment="1">
      <alignment horizontal="center"/>
    </xf>
    <xf numFmtId="0" fontId="20" fillId="0" borderId="4" xfId="0" applyFont="1" applyBorder="1" applyAlignment="1">
      <alignment horizontal="left" vertical="center" wrapText="1"/>
    </xf>
    <xf numFmtId="0" fontId="20" fillId="5" borderId="4"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4" xfId="6" applyFont="1" applyFill="1" applyBorder="1" applyAlignment="1">
      <alignment horizontal="left" vertical="center" wrapText="1"/>
    </xf>
    <xf numFmtId="0" fontId="6" fillId="6" borderId="4" xfId="0" applyFont="1" applyFill="1" applyBorder="1" applyAlignment="1">
      <alignment horizontal="center" vertical="center"/>
    </xf>
    <xf numFmtId="0" fontId="14" fillId="6" borderId="4" xfId="0" applyFont="1" applyFill="1" applyBorder="1" applyAlignment="1">
      <alignment vertical="center" wrapText="1"/>
    </xf>
    <xf numFmtId="0" fontId="14" fillId="6" borderId="4" xfId="0" applyFont="1" applyFill="1" applyBorder="1"/>
    <xf numFmtId="4" fontId="10" fillId="6" borderId="4" xfId="0" applyNumberFormat="1" applyFont="1" applyFill="1" applyBorder="1" applyAlignment="1">
      <alignment horizontal="right" vertical="center"/>
    </xf>
    <xf numFmtId="0" fontId="6" fillId="6" borderId="4" xfId="0" applyFont="1" applyFill="1" applyBorder="1" applyAlignment="1">
      <alignment horizontal="center"/>
    </xf>
    <xf numFmtId="4" fontId="7" fillId="0" borderId="8" xfId="3" applyNumberFormat="1" applyFont="1" applyBorder="1" applyAlignment="1">
      <alignment horizontal="right" vertical="center"/>
    </xf>
    <xf numFmtId="0" fontId="19" fillId="6" borderId="4" xfId="0" applyFont="1" applyFill="1" applyBorder="1" applyAlignment="1">
      <alignment vertical="center" wrapText="1"/>
    </xf>
    <xf numFmtId="43" fontId="10" fillId="6" borderId="4" xfId="1" applyFont="1" applyFill="1" applyBorder="1" applyAlignment="1">
      <alignment horizontal="right" vertical="center"/>
    </xf>
    <xf numFmtId="0" fontId="17" fillId="2" borderId="8" xfId="0" applyFont="1" applyFill="1" applyBorder="1" applyAlignment="1">
      <alignment horizontal="justify" vertical="center" wrapText="1"/>
    </xf>
    <xf numFmtId="4" fontId="17" fillId="0" borderId="8" xfId="0" applyNumberFormat="1" applyFont="1" applyBorder="1"/>
    <xf numFmtId="4" fontId="18" fillId="2" borderId="8" xfId="0" applyNumberFormat="1" applyFont="1" applyFill="1" applyBorder="1" applyAlignment="1">
      <alignment horizontal="right" vertical="center"/>
    </xf>
    <xf numFmtId="165" fontId="10" fillId="6" borderId="4" xfId="0" applyNumberFormat="1" applyFont="1" applyFill="1" applyBorder="1" applyAlignment="1">
      <alignment horizontal="right" vertical="center"/>
    </xf>
    <xf numFmtId="0" fontId="21" fillId="0" borderId="8" xfId="6" applyFont="1" applyBorder="1" applyAlignment="1">
      <alignment horizontal="left" vertical="center" wrapText="1"/>
    </xf>
    <xf numFmtId="0" fontId="13" fillId="6" borderId="4" xfId="0" applyFont="1" applyFill="1" applyBorder="1" applyAlignment="1">
      <alignment horizontal="center"/>
    </xf>
    <xf numFmtId="4" fontId="14" fillId="6" borderId="4" xfId="0" applyNumberFormat="1" applyFont="1" applyFill="1" applyBorder="1" applyAlignment="1">
      <alignment vertical="center" wrapText="1"/>
    </xf>
    <xf numFmtId="0" fontId="17" fillId="2" borderId="4" xfId="0" applyFont="1" applyFill="1" applyBorder="1" applyAlignment="1">
      <alignment horizontal="center" vertical="center" wrapText="1"/>
    </xf>
    <xf numFmtId="4" fontId="7" fillId="0" borderId="0" xfId="0" applyNumberFormat="1" applyFont="1" applyAlignment="1">
      <alignment horizontal="center" vertical="center"/>
    </xf>
    <xf numFmtId="0" fontId="20" fillId="2" borderId="8" xfId="0" applyFont="1" applyFill="1" applyBorder="1" applyAlignment="1">
      <alignment horizontal="center" vertical="center"/>
    </xf>
    <xf numFmtId="0" fontId="22" fillId="2" borderId="4" xfId="0" applyFont="1" applyFill="1" applyBorder="1" applyAlignment="1">
      <alignment horizontal="left" vertical="center" wrapText="1"/>
    </xf>
    <xf numFmtId="0" fontId="20" fillId="2" borderId="4" xfId="0" quotePrefix="1" applyFont="1" applyFill="1" applyBorder="1" applyAlignment="1">
      <alignment horizontal="center" vertical="center" wrapText="1"/>
    </xf>
    <xf numFmtId="0" fontId="27" fillId="2" borderId="4" xfId="0" applyFont="1" applyFill="1" applyBorder="1" applyAlignment="1">
      <alignment vertical="center" wrapText="1"/>
    </xf>
    <xf numFmtId="0" fontId="20" fillId="0" borderId="18" xfId="0" applyFont="1" applyBorder="1" applyAlignment="1">
      <alignment horizontal="left" vertical="center" wrapText="1"/>
    </xf>
    <xf numFmtId="0" fontId="21" fillId="0" borderId="4" xfId="0" applyFont="1" applyBorder="1" applyAlignment="1">
      <alignment vertical="center" wrapText="1"/>
    </xf>
    <xf numFmtId="4" fontId="56" fillId="44" borderId="35" xfId="1" applyNumberFormat="1" applyFont="1" applyFill="1" applyBorder="1" applyAlignment="1">
      <alignment horizontal="center" vertical="center" wrapText="1"/>
    </xf>
    <xf numFmtId="4" fontId="56" fillId="44" borderId="8" xfId="1" applyNumberFormat="1" applyFont="1" applyFill="1" applyBorder="1" applyAlignment="1">
      <alignment horizontal="center" vertical="center" wrapText="1"/>
    </xf>
    <xf numFmtId="4" fontId="44" fillId="42" borderId="3" xfId="1" applyNumberFormat="1" applyFont="1" applyFill="1" applyBorder="1" applyAlignment="1">
      <alignment horizontal="center" vertical="center" wrapText="1"/>
    </xf>
    <xf numFmtId="4" fontId="44" fillId="42" borderId="4" xfId="1" applyNumberFormat="1" applyFont="1" applyFill="1" applyBorder="1" applyAlignment="1">
      <alignment horizontal="center" vertical="center" wrapText="1"/>
    </xf>
    <xf numFmtId="4" fontId="44" fillId="45" borderId="35" xfId="1" applyNumberFormat="1" applyFont="1" applyFill="1" applyBorder="1" applyAlignment="1">
      <alignment horizontal="center" vertical="center" wrapText="1"/>
    </xf>
    <xf numFmtId="4" fontId="44" fillId="45" borderId="8" xfId="1" applyNumberFormat="1" applyFont="1" applyFill="1" applyBorder="1" applyAlignment="1">
      <alignment horizontal="center" vertical="center" wrapText="1"/>
    </xf>
    <xf numFmtId="4" fontId="58" fillId="47" borderId="4" xfId="0" applyNumberFormat="1" applyFont="1" applyFill="1" applyBorder="1" applyAlignment="1">
      <alignment vertical="center"/>
    </xf>
    <xf numFmtId="4" fontId="59" fillId="47" borderId="4" xfId="0" applyNumberFormat="1" applyFont="1" applyFill="1" applyBorder="1" applyAlignment="1">
      <alignment vertical="center"/>
    </xf>
    <xf numFmtId="4" fontId="57" fillId="47" borderId="4" xfId="0" applyNumberFormat="1" applyFont="1" applyFill="1" applyBorder="1" applyAlignment="1">
      <alignment horizontal="center" vertical="center"/>
    </xf>
    <xf numFmtId="4" fontId="45" fillId="0" borderId="4" xfId="0" applyNumberFormat="1" applyFont="1" applyBorder="1" applyAlignment="1">
      <alignment vertical="center"/>
    </xf>
    <xf numFmtId="4" fontId="54" fillId="2" borderId="4" xfId="0" applyNumberFormat="1" applyFont="1" applyFill="1" applyBorder="1" applyAlignment="1">
      <alignment vertical="center"/>
    </xf>
    <xf numFmtId="171" fontId="45" fillId="0" borderId="4" xfId="0" applyNumberFormat="1" applyFont="1" applyBorder="1" applyAlignment="1">
      <alignment vertical="center"/>
    </xf>
    <xf numFmtId="0" fontId="58" fillId="47" borderId="10" xfId="0" applyFont="1" applyFill="1" applyBorder="1" applyAlignment="1">
      <alignment horizontal="center" vertical="center" wrapText="1"/>
    </xf>
    <xf numFmtId="0" fontId="0" fillId="2" borderId="4" xfId="0" applyFill="1" applyBorder="1" applyAlignment="1">
      <alignment vertical="center"/>
    </xf>
    <xf numFmtId="0" fontId="60" fillId="41" borderId="4" xfId="0" applyFont="1" applyFill="1" applyBorder="1" applyAlignment="1">
      <alignment horizontal="center" vertical="center"/>
    </xf>
    <xf numFmtId="0" fontId="60" fillId="41" borderId="4" xfId="0" applyFont="1" applyFill="1" applyBorder="1"/>
    <xf numFmtId="0" fontId="60" fillId="41" borderId="4" xfId="0" applyFont="1" applyFill="1" applyBorder="1" applyAlignment="1">
      <alignment vertical="center"/>
    </xf>
    <xf numFmtId="4" fontId="60" fillId="41" borderId="4" xfId="0" applyNumberFormat="1" applyFont="1" applyFill="1" applyBorder="1" applyAlignment="1">
      <alignment vertical="center"/>
    </xf>
    <xf numFmtId="4" fontId="2" fillId="0" borderId="4" xfId="0" applyNumberFormat="1" applyFont="1" applyBorder="1" applyAlignment="1">
      <alignment vertical="center"/>
    </xf>
    <xf numFmtId="0" fontId="0" fillId="2" borderId="0" xfId="0" applyFill="1"/>
    <xf numFmtId="4" fontId="0" fillId="2" borderId="0" xfId="0" applyNumberFormat="1" applyFill="1"/>
    <xf numFmtId="4" fontId="2" fillId="2" borderId="4" xfId="0" applyNumberFormat="1" applyFont="1" applyFill="1" applyBorder="1" applyAlignment="1">
      <alignment vertical="center"/>
    </xf>
    <xf numFmtId="4" fontId="0" fillId="2" borderId="4" xfId="0" applyNumberFormat="1" applyFill="1" applyBorder="1"/>
    <xf numFmtId="43" fontId="0" fillId="0" borderId="4" xfId="0" applyNumberFormat="1" applyBorder="1" applyAlignment="1">
      <alignment vertical="center"/>
    </xf>
    <xf numFmtId="4" fontId="6" fillId="0" borderId="4" xfId="0" applyNumberFormat="1" applyFont="1" applyBorder="1" applyAlignment="1">
      <alignment vertical="center"/>
    </xf>
    <xf numFmtId="0" fontId="0" fillId="51" borderId="0" xfId="0" applyFill="1"/>
    <xf numFmtId="0" fontId="6" fillId="2" borderId="17" xfId="0" applyFont="1" applyFill="1" applyBorder="1" applyAlignment="1">
      <alignment vertical="center" wrapText="1"/>
    </xf>
    <xf numFmtId="0" fontId="6" fillId="0" borderId="17" xfId="0" applyFont="1" applyBorder="1" applyAlignment="1">
      <alignment horizontal="justify" vertical="center" wrapText="1"/>
    </xf>
    <xf numFmtId="164" fontId="74" fillId="49" borderId="4" xfId="0" applyNumberFormat="1" applyFont="1" applyFill="1" applyBorder="1" applyAlignment="1">
      <alignment vertical="center" wrapText="1"/>
    </xf>
    <xf numFmtId="4" fontId="70" fillId="0" borderId="17" xfId="0" applyNumberFormat="1" applyFont="1" applyBorder="1" applyAlignment="1">
      <alignment vertical="center" wrapText="1"/>
    </xf>
    <xf numFmtId="0" fontId="79" fillId="47" borderId="4" xfId="0" applyFont="1" applyFill="1" applyBorder="1" applyAlignment="1">
      <alignment horizontal="center" vertical="center"/>
    </xf>
    <xf numFmtId="4" fontId="42" fillId="0" borderId="4" xfId="0" applyNumberFormat="1" applyFont="1" applyBorder="1" applyAlignment="1">
      <alignment horizontal="left" vertical="center"/>
    </xf>
    <xf numFmtId="4" fontId="9" fillId="0" borderId="4" xfId="0" applyNumberFormat="1" applyFont="1" applyBorder="1" applyAlignment="1">
      <alignment horizontal="left" vertical="center"/>
    </xf>
    <xf numFmtId="4" fontId="0" fillId="0" borderId="4" xfId="0" applyNumberFormat="1" applyBorder="1"/>
    <xf numFmtId="0" fontId="72" fillId="48" borderId="0" xfId="0" applyFont="1" applyFill="1"/>
    <xf numFmtId="0" fontId="73" fillId="48" borderId="0" xfId="0" applyFont="1" applyFill="1"/>
    <xf numFmtId="4" fontId="7" fillId="2" borderId="4" xfId="0" applyNumberFormat="1" applyFont="1" applyFill="1" applyBorder="1" applyAlignment="1">
      <alignment vertical="center"/>
    </xf>
    <xf numFmtId="0" fontId="7" fillId="0" borderId="4" xfId="0" applyFont="1" applyBorder="1" applyAlignment="1">
      <alignment horizontal="justify" vertical="center" wrapText="1"/>
    </xf>
    <xf numFmtId="0" fontId="7" fillId="2" borderId="4" xfId="7" applyFont="1" applyFill="1" applyBorder="1" applyAlignment="1">
      <alignment horizontal="center" vertical="center"/>
    </xf>
    <xf numFmtId="0" fontId="7" fillId="2" borderId="4" xfId="4" applyFont="1" applyFill="1" applyBorder="1" applyAlignment="1">
      <alignment horizontal="justify" vertical="center"/>
    </xf>
    <xf numFmtId="4" fontId="7" fillId="2" borderId="4" xfId="0" applyNumberFormat="1" applyFont="1" applyFill="1" applyBorder="1" applyAlignment="1">
      <alignment horizontal="center" vertical="center"/>
    </xf>
    <xf numFmtId="0" fontId="6" fillId="0" borderId="4" xfId="0" applyFont="1" applyBorder="1" applyAlignment="1">
      <alignment vertical="center" wrapText="1"/>
    </xf>
    <xf numFmtId="14" fontId="7" fillId="2" borderId="10" xfId="0" applyNumberFormat="1" applyFont="1" applyFill="1" applyBorder="1" applyAlignment="1">
      <alignment horizontal="center" vertical="center"/>
    </xf>
    <xf numFmtId="0" fontId="66" fillId="0" borderId="4" xfId="0" applyFont="1" applyBorder="1" applyAlignment="1">
      <alignment horizontal="center" vertical="center" wrapText="1"/>
    </xf>
    <xf numFmtId="0" fontId="7" fillId="2" borderId="4" xfId="0" applyFont="1" applyFill="1" applyBorder="1" applyAlignment="1">
      <alignment vertical="center" wrapText="1"/>
    </xf>
    <xf numFmtId="0" fontId="66" fillId="2" borderId="4"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vertical="center" wrapText="1"/>
    </xf>
    <xf numFmtId="0" fontId="10" fillId="0" borderId="17" xfId="219" applyFont="1" applyBorder="1" applyAlignment="1">
      <alignment horizontal="left" vertical="center" wrapText="1"/>
    </xf>
    <xf numFmtId="14" fontId="7" fillId="0" borderId="18" xfId="0" applyNumberFormat="1" applyFont="1" applyBorder="1" applyAlignment="1">
      <alignment horizontal="center" vertical="center" wrapText="1"/>
    </xf>
    <xf numFmtId="0" fontId="76" fillId="48" borderId="0" xfId="0" applyFont="1" applyFill="1"/>
    <xf numFmtId="4" fontId="7" fillId="0" borderId="4" xfId="0" applyNumberFormat="1" applyFont="1" applyBorder="1" applyAlignment="1">
      <alignment vertical="center"/>
    </xf>
    <xf numFmtId="0" fontId="6" fillId="2" borderId="4" xfId="0" applyFont="1" applyFill="1" applyBorder="1" applyAlignment="1">
      <alignment vertical="center" wrapText="1"/>
    </xf>
    <xf numFmtId="0" fontId="7" fillId="2" borderId="4" xfId="0" quotePrefix="1" applyFont="1" applyFill="1" applyBorder="1" applyAlignment="1">
      <alignment horizontal="center" vertical="center"/>
    </xf>
    <xf numFmtId="0" fontId="70" fillId="0" borderId="4" xfId="0" applyFont="1" applyBorder="1" applyAlignment="1">
      <alignment horizontal="center" vertical="center"/>
    </xf>
    <xf numFmtId="4" fontId="70" fillId="0" borderId="4" xfId="0" applyNumberFormat="1" applyFont="1" applyBorder="1"/>
    <xf numFmtId="0" fontId="62" fillId="2" borderId="4" xfId="7" applyFont="1" applyFill="1" applyBorder="1" applyAlignment="1">
      <alignment horizontal="center" vertical="center"/>
    </xf>
    <xf numFmtId="14" fontId="7" fillId="0" borderId="4" xfId="0" applyNumberFormat="1" applyFont="1" applyBorder="1" applyAlignment="1">
      <alignment horizontal="center" vertical="center"/>
    </xf>
    <xf numFmtId="14" fontId="62" fillId="2" borderId="4" xfId="7" applyNumberFormat="1" applyFont="1" applyFill="1" applyBorder="1" applyAlignment="1">
      <alignment horizontal="center" vertical="center"/>
    </xf>
    <xf numFmtId="0" fontId="7" fillId="2" borderId="4" xfId="0" applyFont="1" applyFill="1" applyBorder="1" applyAlignment="1">
      <alignment horizontal="center" vertical="center" wrapText="1"/>
    </xf>
    <xf numFmtId="4" fontId="69" fillId="2" borderId="4" xfId="0" applyNumberFormat="1" applyFont="1" applyFill="1" applyBorder="1" applyAlignment="1">
      <alignment vertical="center"/>
    </xf>
    <xf numFmtId="0" fontId="7" fillId="0" borderId="9" xfId="0" applyFont="1" applyBorder="1" applyAlignment="1">
      <alignment horizontal="center" vertical="center"/>
    </xf>
    <xf numFmtId="0" fontId="77" fillId="2" borderId="4" xfId="0" applyFont="1" applyFill="1" applyBorder="1" applyAlignment="1">
      <alignment horizontal="center" vertical="center" wrapText="1"/>
    </xf>
    <xf numFmtId="4" fontId="0" fillId="0" borderId="0" xfId="0" applyNumberFormat="1"/>
    <xf numFmtId="0" fontId="73" fillId="48" borderId="0" xfId="0" applyFont="1" applyFill="1" applyAlignment="1">
      <alignment horizontal="center"/>
    </xf>
    <xf numFmtId="14" fontId="17" fillId="2" borderId="4" xfId="0" applyNumberFormat="1" applyFont="1" applyFill="1" applyBorder="1" applyAlignment="1">
      <alignment horizontal="center" vertical="center" wrapText="1"/>
    </xf>
    <xf numFmtId="0" fontId="86" fillId="0" borderId="0" xfId="0" applyFont="1" applyAlignment="1">
      <alignment horizontal="center"/>
    </xf>
    <xf numFmtId="0" fontId="90" fillId="54" borderId="4" xfId="0" applyFont="1" applyFill="1" applyBorder="1" applyAlignment="1">
      <alignment horizontal="justify" vertical="center" wrapText="1"/>
    </xf>
    <xf numFmtId="0" fontId="63" fillId="0" borderId="4" xfId="0" applyFont="1" applyBorder="1" applyAlignment="1">
      <alignment horizontal="justify" vertical="center" wrapText="1"/>
    </xf>
    <xf numFmtId="0" fontId="92" fillId="0" borderId="4" xfId="0" applyFont="1" applyBorder="1" applyAlignment="1">
      <alignment horizontal="justify" vertical="center" wrapText="1"/>
    </xf>
    <xf numFmtId="43" fontId="70" fillId="0" borderId="10" xfId="3" applyNumberFormat="1" applyFont="1" applyBorder="1" applyAlignment="1">
      <alignment horizontal="right" vertical="center"/>
    </xf>
    <xf numFmtId="43" fontId="70" fillId="0" borderId="4" xfId="3" applyNumberFormat="1" applyFont="1" applyBorder="1" applyAlignment="1">
      <alignment horizontal="right" vertical="center"/>
    </xf>
    <xf numFmtId="43" fontId="71" fillId="0" borderId="4" xfId="0" applyNumberFormat="1" applyFont="1" applyBorder="1" applyAlignment="1">
      <alignment vertical="center"/>
    </xf>
    <xf numFmtId="43" fontId="70" fillId="0" borderId="4" xfId="0" applyNumberFormat="1" applyFont="1" applyBorder="1" applyAlignment="1">
      <alignment vertical="center"/>
    </xf>
    <xf numFmtId="0" fontId="7" fillId="0" borderId="4" xfId="0" applyFont="1" applyBorder="1" applyAlignment="1">
      <alignment horizontal="center" vertical="center"/>
    </xf>
    <xf numFmtId="0" fontId="74" fillId="49" borderId="38" xfId="0" applyFont="1" applyFill="1" applyBorder="1" applyAlignment="1">
      <alignment vertical="center"/>
    </xf>
    <xf numFmtId="164" fontId="74" fillId="49" borderId="38" xfId="0" applyNumberFormat="1" applyFont="1" applyFill="1" applyBorder="1" applyAlignment="1">
      <alignment vertical="center" wrapText="1"/>
    </xf>
    <xf numFmtId="0" fontId="7" fillId="0" borderId="4" xfId="0" applyFont="1" applyBorder="1" applyAlignment="1">
      <alignment vertical="center" wrapText="1"/>
    </xf>
    <xf numFmtId="43" fontId="71" fillId="0" borderId="4" xfId="0" applyNumberFormat="1" applyFont="1" applyBorder="1"/>
    <xf numFmtId="43" fontId="70" fillId="0" borderId="4" xfId="0" applyNumberFormat="1" applyFont="1" applyBorder="1"/>
    <xf numFmtId="0" fontId="10" fillId="0" borderId="4" xfId="0" applyFont="1" applyBorder="1" applyAlignment="1">
      <alignment horizontal="right" vertical="center"/>
    </xf>
    <xf numFmtId="0" fontId="70" fillId="0" borderId="0" xfId="0" applyFont="1"/>
    <xf numFmtId="0" fontId="2" fillId="0" borderId="4" xfId="0" applyFont="1" applyBorder="1" applyAlignment="1">
      <alignment vertical="center"/>
    </xf>
    <xf numFmtId="0" fontId="91" fillId="0" borderId="4" xfId="0" applyFont="1" applyBorder="1" applyAlignment="1">
      <alignment vertical="center"/>
    </xf>
    <xf numFmtId="43" fontId="0" fillId="0" borderId="4" xfId="0" applyNumberFormat="1" applyBorder="1"/>
    <xf numFmtId="4" fontId="96" fillId="0" borderId="4" xfId="0" applyNumberFormat="1" applyFont="1" applyBorder="1"/>
    <xf numFmtId="4" fontId="85" fillId="0" borderId="4" xfId="0" applyNumberFormat="1" applyFont="1" applyBorder="1"/>
    <xf numFmtId="4" fontId="53" fillId="0" borderId="4" xfId="0" applyNumberFormat="1" applyFont="1" applyBorder="1"/>
    <xf numFmtId="4" fontId="53" fillId="2" borderId="4" xfId="0" applyNumberFormat="1" applyFont="1" applyFill="1" applyBorder="1"/>
    <xf numFmtId="4" fontId="74" fillId="56" borderId="0" xfId="0" applyNumberFormat="1" applyFont="1" applyFill="1" applyAlignment="1">
      <alignment vertical="center"/>
    </xf>
    <xf numFmtId="0" fontId="95" fillId="2" borderId="17" xfId="0" applyFont="1" applyFill="1" applyBorder="1" applyAlignment="1">
      <alignment vertical="center" wrapText="1"/>
    </xf>
    <xf numFmtId="0" fontId="92" fillId="2" borderId="17" xfId="0" applyFont="1" applyFill="1" applyBorder="1" applyAlignment="1">
      <alignment vertical="center" wrapText="1"/>
    </xf>
    <xf numFmtId="164" fontId="74" fillId="49" borderId="40" xfId="0" applyNumberFormat="1" applyFont="1" applyFill="1" applyBorder="1" applyAlignment="1">
      <alignment vertical="center" wrapText="1"/>
    </xf>
    <xf numFmtId="0" fontId="70" fillId="0" borderId="17" xfId="0" applyFont="1" applyBorder="1"/>
    <xf numFmtId="4" fontId="69" fillId="2" borderId="17" xfId="0" applyNumberFormat="1" applyFont="1" applyFill="1" applyBorder="1"/>
    <xf numFmtId="0" fontId="7" fillId="6" borderId="4" xfId="0" applyFont="1" applyFill="1" applyBorder="1" applyAlignment="1">
      <alignment horizontal="center" vertical="center"/>
    </xf>
    <xf numFmtId="4" fontId="10" fillId="6" borderId="4" xfId="0" applyNumberFormat="1" applyFont="1" applyFill="1" applyBorder="1" applyAlignment="1">
      <alignment vertical="center"/>
    </xf>
    <xf numFmtId="14" fontId="7" fillId="2" borderId="4" xfId="0" applyNumberFormat="1" applyFont="1" applyFill="1" applyBorder="1" applyAlignment="1">
      <alignment horizontal="center" vertical="center"/>
    </xf>
    <xf numFmtId="0" fontId="74" fillId="49" borderId="37" xfId="0" applyFont="1" applyFill="1" applyBorder="1" applyAlignment="1">
      <alignment horizontal="center" vertical="center"/>
    </xf>
    <xf numFmtId="0" fontId="74" fillId="49" borderId="38" xfId="0" applyFont="1" applyFill="1" applyBorder="1" applyAlignment="1">
      <alignment vertical="center" wrapText="1"/>
    </xf>
    <xf numFmtId="0" fontId="70" fillId="0" borderId="4" xfId="0" applyFont="1" applyBorder="1"/>
    <xf numFmtId="0" fontId="70" fillId="0" borderId="4" xfId="0" applyFont="1" applyBorder="1" applyAlignment="1">
      <alignment horizontal="center"/>
    </xf>
    <xf numFmtId="0" fontId="69" fillId="2" borderId="4" xfId="0" applyFont="1" applyFill="1" applyBorder="1" applyAlignment="1">
      <alignment horizontal="center" vertical="center"/>
    </xf>
    <xf numFmtId="0" fontId="94" fillId="2" borderId="4" xfId="0" applyFont="1" applyFill="1" applyBorder="1" applyAlignment="1">
      <alignment horizontal="center" vertical="center"/>
    </xf>
    <xf numFmtId="164" fontId="74" fillId="55" borderId="38" xfId="0" applyNumberFormat="1" applyFont="1" applyFill="1" applyBorder="1" applyAlignment="1">
      <alignment vertical="center" wrapText="1"/>
    </xf>
    <xf numFmtId="0" fontId="77" fillId="2" borderId="4" xfId="0" quotePrefix="1" applyFont="1" applyFill="1" applyBorder="1" applyAlignment="1">
      <alignment horizontal="center" vertical="center"/>
    </xf>
    <xf numFmtId="0" fontId="76" fillId="48" borderId="0" xfId="0" applyFont="1" applyFill="1" applyAlignment="1">
      <alignment horizontal="center"/>
    </xf>
    <xf numFmtId="4" fontId="10" fillId="6" borderId="0" xfId="0" applyNumberFormat="1" applyFont="1" applyFill="1" applyAlignment="1">
      <alignment vertical="center"/>
    </xf>
    <xf numFmtId="0" fontId="7" fillId="0" borderId="0" xfId="0" applyFont="1" applyAlignment="1">
      <alignment horizontal="center" vertical="center" wrapText="1"/>
    </xf>
    <xf numFmtId="0" fontId="12" fillId="0" borderId="0" xfId="0" applyFont="1" applyAlignment="1">
      <alignment horizontal="center" vertical="center" wrapText="1"/>
    </xf>
    <xf numFmtId="4" fontId="10" fillId="0" borderId="0" xfId="1" applyNumberFormat="1" applyFont="1" applyAlignment="1">
      <alignment horizontal="center" vertical="center" wrapText="1"/>
    </xf>
    <xf numFmtId="4" fontId="56" fillId="0" borderId="0" xfId="1" applyNumberFormat="1" applyFont="1" applyAlignment="1">
      <alignment horizontal="center" vertical="center" wrapText="1"/>
    </xf>
    <xf numFmtId="4" fontId="44" fillId="0" borderId="0" xfId="1" applyNumberFormat="1" applyFont="1" applyAlignment="1">
      <alignment horizontal="center" vertical="center" wrapText="1"/>
    </xf>
    <xf numFmtId="0" fontId="7" fillId="2" borderId="10" xfId="0" applyFont="1" applyFill="1" applyBorder="1" applyAlignment="1">
      <alignment horizontal="center" vertical="center"/>
    </xf>
    <xf numFmtId="0" fontId="18" fillId="2" borderId="4" xfId="0" applyFont="1" applyFill="1" applyBorder="1" applyAlignment="1">
      <alignment horizontal="center" vertical="center" wrapText="1"/>
    </xf>
    <xf numFmtId="0" fontId="7" fillId="2" borderId="9" xfId="0" applyFont="1" applyFill="1" applyBorder="1" applyAlignment="1">
      <alignment horizontal="center" vertical="center"/>
    </xf>
    <xf numFmtId="4" fontId="17" fillId="2" borderId="4" xfId="0" applyNumberFormat="1" applyFont="1" applyFill="1" applyBorder="1" applyAlignment="1">
      <alignment wrapText="1"/>
    </xf>
    <xf numFmtId="4" fontId="26" fillId="2" borderId="4" xfId="0" applyNumberFormat="1" applyFont="1" applyFill="1" applyBorder="1" applyAlignment="1">
      <alignment wrapText="1"/>
    </xf>
    <xf numFmtId="4" fontId="18" fillId="2" borderId="4" xfId="0" applyNumberFormat="1" applyFont="1" applyFill="1" applyBorder="1" applyAlignment="1">
      <alignment wrapText="1"/>
    </xf>
    <xf numFmtId="0" fontId="21" fillId="2" borderId="8" xfId="6" applyFont="1" applyFill="1" applyBorder="1" applyAlignment="1">
      <alignment horizontal="left" vertical="center" wrapText="1"/>
    </xf>
    <xf numFmtId="0" fontId="69" fillId="0" borderId="4" xfId="0" applyFont="1" applyBorder="1" applyAlignment="1">
      <alignment horizontal="justify" vertical="center" wrapText="1"/>
    </xf>
    <xf numFmtId="0" fontId="20" fillId="2" borderId="10" xfId="0" applyFont="1" applyFill="1" applyBorder="1" applyAlignment="1">
      <alignment horizontal="left" vertical="center" wrapText="1"/>
    </xf>
    <xf numFmtId="0" fontId="70" fillId="2" borderId="4" xfId="0" applyFont="1" applyFill="1" applyBorder="1" applyAlignment="1">
      <alignment horizontal="left" vertical="center" wrapText="1"/>
    </xf>
    <xf numFmtId="0" fontId="71" fillId="2" borderId="10" xfId="0" applyFont="1" applyFill="1" applyBorder="1" applyAlignment="1">
      <alignment horizontal="left" vertical="center" wrapText="1"/>
    </xf>
    <xf numFmtId="0" fontId="21" fillId="2" borderId="4" xfId="0" applyFont="1" applyFill="1" applyBorder="1" applyAlignment="1">
      <alignment vertical="center" wrapText="1"/>
    </xf>
    <xf numFmtId="0" fontId="20" fillId="2" borderId="18" xfId="0" applyFont="1" applyFill="1" applyBorder="1" applyAlignment="1">
      <alignment horizontal="left" vertical="center" wrapText="1"/>
    </xf>
    <xf numFmtId="0" fontId="6" fillId="2" borderId="10" xfId="0" applyFont="1" applyFill="1" applyBorder="1" applyAlignment="1">
      <alignment vertical="center" wrapText="1"/>
    </xf>
    <xf numFmtId="4" fontId="7" fillId="2" borderId="5" xfId="0" applyNumberFormat="1" applyFont="1" applyFill="1" applyBorder="1" applyAlignment="1">
      <alignment vertical="center"/>
    </xf>
    <xf numFmtId="0" fontId="7" fillId="0" borderId="4" xfId="0" applyFont="1" applyBorder="1" applyAlignment="1">
      <alignment horizontal="center" vertical="center" wrapText="1"/>
    </xf>
    <xf numFmtId="0" fontId="6" fillId="0" borderId="0" xfId="0" applyFont="1" applyAlignment="1">
      <alignment horizontal="left" wrapText="1"/>
    </xf>
    <xf numFmtId="0" fontId="6" fillId="0" borderId="6" xfId="0" applyFont="1" applyBorder="1" applyAlignment="1">
      <alignment horizontal="justify" vertical="center" wrapText="1"/>
    </xf>
    <xf numFmtId="0" fontId="6" fillId="0" borderId="0" xfId="0" applyFont="1" applyAlignment="1">
      <alignment horizontal="center" vertical="center" wrapText="1"/>
    </xf>
    <xf numFmtId="0" fontId="21" fillId="0" borderId="4" xfId="0" applyFont="1" applyBorder="1" applyAlignment="1">
      <alignment horizontal="left" vertical="center" wrapText="1"/>
    </xf>
    <xf numFmtId="4" fontId="7" fillId="0" borderId="0" xfId="0" applyNumberFormat="1" applyFont="1" applyAlignment="1">
      <alignment vertical="center" wrapText="1"/>
    </xf>
    <xf numFmtId="0" fontId="12" fillId="2" borderId="0" xfId="0" applyFont="1" applyFill="1" applyAlignment="1">
      <alignment horizontal="left" vertical="center" wrapText="1"/>
    </xf>
    <xf numFmtId="4" fontId="7" fillId="0" borderId="6" xfId="0" applyNumberFormat="1" applyFont="1" applyBorder="1" applyAlignment="1">
      <alignment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10" fillId="6" borderId="4" xfId="0" applyFont="1" applyFill="1" applyBorder="1" applyAlignment="1">
      <alignment horizontal="justify" vertical="center" wrapText="1"/>
    </xf>
    <xf numFmtId="0" fontId="74" fillId="49" borderId="40" xfId="0" applyFont="1" applyFill="1" applyBorder="1" applyAlignment="1">
      <alignment vertical="center" wrapText="1"/>
    </xf>
    <xf numFmtId="0" fontId="7" fillId="2" borderId="17" xfId="0" applyFont="1" applyFill="1" applyBorder="1" applyAlignment="1">
      <alignment horizontal="justify" vertical="center" wrapText="1"/>
    </xf>
    <xf numFmtId="0" fontId="43" fillId="2" borderId="17" xfId="0" applyFont="1" applyFill="1" applyBorder="1" applyAlignment="1">
      <alignment wrapText="1"/>
    </xf>
    <xf numFmtId="0" fontId="70" fillId="0" borderId="0" xfId="0" applyFont="1" applyAlignment="1">
      <alignment wrapText="1"/>
    </xf>
    <xf numFmtId="0" fontId="92" fillId="0" borderId="4" xfId="0" applyFont="1" applyBorder="1" applyAlignment="1">
      <alignment wrapText="1"/>
    </xf>
    <xf numFmtId="4" fontId="7" fillId="0" borderId="17" xfId="0" applyNumberFormat="1" applyFont="1" applyBorder="1" applyAlignment="1">
      <alignment vertical="center"/>
    </xf>
    <xf numFmtId="4" fontId="6" fillId="0" borderId="6" xfId="0" applyNumberFormat="1" applyFont="1" applyBorder="1" applyAlignment="1">
      <alignment horizontal="right" vertical="center"/>
    </xf>
    <xf numFmtId="4" fontId="20" fillId="2" borderId="10" xfId="0" applyNumberFormat="1" applyFont="1" applyFill="1" applyBorder="1" applyAlignment="1">
      <alignment horizontal="right" vertical="center"/>
    </xf>
    <xf numFmtId="4" fontId="20" fillId="2" borderId="10" xfId="0" applyNumberFormat="1" applyFont="1" applyFill="1" applyBorder="1" applyAlignment="1">
      <alignment vertical="center"/>
    </xf>
    <xf numFmtId="43" fontId="20" fillId="2" borderId="10" xfId="1" applyFont="1" applyFill="1" applyBorder="1" applyAlignment="1">
      <alignment horizontal="right" vertical="center"/>
    </xf>
    <xf numFmtId="4" fontId="20" fillId="2" borderId="5" xfId="0" applyNumberFormat="1" applyFont="1" applyFill="1" applyBorder="1" applyAlignment="1">
      <alignment horizontal="right" vertical="center"/>
    </xf>
    <xf numFmtId="4" fontId="20" fillId="2" borderId="13" xfId="0" applyNumberFormat="1" applyFont="1" applyFill="1" applyBorder="1" applyAlignment="1">
      <alignment horizontal="right" vertical="center"/>
    </xf>
    <xf numFmtId="0" fontId="12" fillId="0" borderId="4" xfId="0" applyFont="1" applyBorder="1" applyAlignment="1">
      <alignment horizontal="center" vertical="center" wrapText="1"/>
    </xf>
    <xf numFmtId="0" fontId="7" fillId="6"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165" fontId="10" fillId="6" borderId="17" xfId="0" applyNumberFormat="1" applyFont="1" applyFill="1" applyBorder="1" applyAlignment="1">
      <alignment horizontal="right" vertical="center"/>
    </xf>
    <xf numFmtId="4" fontId="7" fillId="2" borderId="17" xfId="0" applyNumberFormat="1" applyFont="1" applyFill="1" applyBorder="1" applyAlignment="1">
      <alignment vertical="center"/>
    </xf>
    <xf numFmtId="43" fontId="10" fillId="6" borderId="17" xfId="1" applyFont="1" applyFill="1" applyBorder="1" applyAlignment="1">
      <alignment horizontal="right" vertical="center"/>
    </xf>
    <xf numFmtId="4" fontId="7" fillId="0" borderId="13" xfId="0" applyNumberFormat="1" applyFont="1" applyBorder="1" applyAlignment="1">
      <alignment vertical="center"/>
    </xf>
    <xf numFmtId="0" fontId="12" fillId="41" borderId="41" xfId="0" applyFont="1" applyFill="1" applyBorder="1" applyAlignment="1">
      <alignment vertical="center"/>
    </xf>
    <xf numFmtId="0" fontId="12" fillId="41" borderId="0" xfId="0" applyFont="1" applyFill="1" applyAlignment="1">
      <alignment horizontal="center" vertical="center" wrapText="1"/>
    </xf>
    <xf numFmtId="4" fontId="10" fillId="41" borderId="0" xfId="1" applyNumberFormat="1" applyFont="1" applyFill="1" applyAlignment="1">
      <alignment horizontal="center" vertical="center" wrapText="1"/>
    </xf>
    <xf numFmtId="0" fontId="12" fillId="41" borderId="0" xfId="0" applyFont="1" applyFill="1" applyAlignment="1">
      <alignment vertical="center"/>
    </xf>
    <xf numFmtId="0" fontId="12" fillId="41" borderId="15" xfId="0" applyFont="1" applyFill="1" applyBorder="1" applyAlignment="1">
      <alignment vertical="center" wrapText="1"/>
    </xf>
    <xf numFmtId="0" fontId="7" fillId="41" borderId="43" xfId="0" applyFont="1" applyFill="1" applyBorder="1" applyAlignment="1">
      <alignment horizontal="center" vertical="center" wrapText="1"/>
    </xf>
    <xf numFmtId="0" fontId="7" fillId="41" borderId="5" xfId="0" applyFont="1" applyFill="1" applyBorder="1" applyAlignment="1">
      <alignment horizontal="center" vertical="center" wrapText="1"/>
    </xf>
    <xf numFmtId="0" fontId="7" fillId="41" borderId="13" xfId="0" applyFont="1" applyFill="1" applyBorder="1" applyAlignment="1">
      <alignment horizontal="center" vertical="center" wrapText="1"/>
    </xf>
    <xf numFmtId="0" fontId="6" fillId="2" borderId="10" xfId="0" applyFont="1" applyFill="1" applyBorder="1" applyAlignment="1">
      <alignment horizontal="center" vertical="center"/>
    </xf>
    <xf numFmtId="0" fontId="20" fillId="2" borderId="10" xfId="0" applyFont="1" applyFill="1" applyBorder="1" applyAlignment="1">
      <alignment horizontal="center" vertical="center" wrapText="1"/>
    </xf>
    <xf numFmtId="0" fontId="99" fillId="0" borderId="0" xfId="0" applyFont="1" applyAlignment="1">
      <alignment vertical="center"/>
    </xf>
    <xf numFmtId="4" fontId="98" fillId="0" borderId="0" xfId="1" applyNumberFormat="1" applyFont="1" applyAlignment="1">
      <alignment horizontal="center" vertical="center" wrapText="1"/>
    </xf>
    <xf numFmtId="4" fontId="45" fillId="0" borderId="4" xfId="1" applyNumberFormat="1" applyFont="1" applyBorder="1" applyAlignment="1">
      <alignment horizontal="center" vertical="center" wrapText="1"/>
    </xf>
    <xf numFmtId="4" fontId="101" fillId="0" borderId="0" xfId="1" applyNumberFormat="1" applyFont="1" applyAlignment="1">
      <alignment horizontal="center" vertical="center" wrapText="1"/>
    </xf>
    <xf numFmtId="0" fontId="102" fillId="0" borderId="0" xfId="0" applyFont="1"/>
    <xf numFmtId="14" fontId="7" fillId="53" borderId="4" xfId="0" applyNumberFormat="1" applyFont="1" applyFill="1" applyBorder="1" applyAlignment="1">
      <alignment horizontal="center" vertical="center" wrapText="1"/>
    </xf>
    <xf numFmtId="0" fontId="7" fillId="41" borderId="0" xfId="0" applyFont="1" applyFill="1" applyAlignment="1">
      <alignment horizontal="center" vertical="center" wrapText="1"/>
    </xf>
    <xf numFmtId="0" fontId="7" fillId="41" borderId="41" xfId="0" applyFont="1" applyFill="1" applyBorder="1" applyAlignment="1">
      <alignment horizontal="center" vertical="center" wrapText="1"/>
    </xf>
    <xf numFmtId="0" fontId="12" fillId="41" borderId="41" xfId="0" applyFont="1" applyFill="1" applyBorder="1" applyAlignment="1">
      <alignment horizontal="center" vertical="center" wrapText="1"/>
    </xf>
    <xf numFmtId="4" fontId="10" fillId="41" borderId="41" xfId="1" applyNumberFormat="1" applyFont="1" applyFill="1" applyBorder="1" applyAlignment="1">
      <alignment horizontal="center" vertical="center" wrapText="1"/>
    </xf>
    <xf numFmtId="0" fontId="7" fillId="41" borderId="15" xfId="0" applyFont="1" applyFill="1" applyBorder="1" applyAlignment="1">
      <alignment horizontal="center" vertical="center" wrapText="1"/>
    </xf>
    <xf numFmtId="0" fontId="12" fillId="41" borderId="15" xfId="0" applyFont="1" applyFill="1" applyBorder="1" applyAlignment="1">
      <alignment horizontal="center" vertical="center" wrapText="1"/>
    </xf>
    <xf numFmtId="4" fontId="10" fillId="41" borderId="15" xfId="1" applyNumberFormat="1" applyFont="1" applyFill="1" applyBorder="1" applyAlignment="1">
      <alignment horizontal="center" vertical="center" wrapText="1"/>
    </xf>
    <xf numFmtId="0" fontId="17" fillId="2" borderId="10" xfId="0" applyFont="1" applyFill="1" applyBorder="1" applyAlignment="1">
      <alignment horizontal="justify" vertical="center" wrapText="1"/>
    </xf>
    <xf numFmtId="4" fontId="17" fillId="2" borderId="10" xfId="0" applyNumberFormat="1" applyFont="1" applyFill="1" applyBorder="1"/>
    <xf numFmtId="4" fontId="18" fillId="2" borderId="10" xfId="0" applyNumberFormat="1" applyFont="1" applyFill="1" applyBorder="1" applyAlignment="1">
      <alignment horizontal="right" vertical="center"/>
    </xf>
    <xf numFmtId="0" fontId="21" fillId="2" borderId="10" xfId="0" applyFont="1" applyFill="1" applyBorder="1" applyAlignment="1">
      <alignment horizontal="center"/>
    </xf>
    <xf numFmtId="0" fontId="21" fillId="0" borderId="10" xfId="0" applyFont="1" applyBorder="1" applyAlignment="1">
      <alignment horizontal="left" vertical="center" wrapText="1"/>
    </xf>
    <xf numFmtId="4" fontId="20" fillId="2" borderId="10" xfId="3" applyNumberFormat="1" applyFont="1" applyFill="1" applyBorder="1" applyAlignment="1">
      <alignment horizontal="right" vertical="center"/>
    </xf>
    <xf numFmtId="4" fontId="56" fillId="0" borderId="4" xfId="1" applyNumberFormat="1" applyFont="1" applyBorder="1" applyAlignment="1">
      <alignment horizontal="center" vertical="center" wrapText="1"/>
    </xf>
    <xf numFmtId="4" fontId="44" fillId="0" borderId="4" xfId="1" applyNumberFormat="1" applyFont="1" applyBorder="1" applyAlignment="1">
      <alignment horizontal="center" vertical="center" wrapText="1"/>
    </xf>
    <xf numFmtId="4" fontId="53" fillId="0" borderId="18" xfId="0" applyNumberFormat="1" applyFont="1" applyBorder="1" applyAlignment="1">
      <alignment vertical="center"/>
    </xf>
    <xf numFmtId="43" fontId="7" fillId="2" borderId="4" xfId="1" applyFont="1" applyFill="1" applyBorder="1" applyAlignment="1">
      <alignment horizontal="right" vertical="center"/>
    </xf>
    <xf numFmtId="0" fontId="0" fillId="0" borderId="0" xfId="0" applyAlignment="1">
      <alignment horizontal="left" vertical="center"/>
    </xf>
    <xf numFmtId="43" fontId="0" fillId="0" borderId="4" xfId="0" applyNumberFormat="1" applyBorder="1" applyAlignment="1">
      <alignment horizontal="center" vertical="center"/>
    </xf>
    <xf numFmtId="164" fontId="0" fillId="0" borderId="4" xfId="0" applyNumberFormat="1" applyBorder="1" applyAlignment="1">
      <alignment horizontal="center" vertical="center"/>
    </xf>
    <xf numFmtId="173" fontId="0" fillId="0" borderId="0" xfId="0" applyNumberFormat="1"/>
    <xf numFmtId="164" fontId="0" fillId="0" borderId="4" xfId="0" applyNumberFormat="1" applyBorder="1" applyAlignment="1">
      <alignment horizontal="right" vertical="center"/>
    </xf>
    <xf numFmtId="4" fontId="0" fillId="0" borderId="4" xfId="0" applyNumberFormat="1" applyBorder="1" applyAlignment="1">
      <alignment horizontal="right" vertical="center"/>
    </xf>
    <xf numFmtId="0" fontId="12" fillId="0" borderId="0" xfId="0" applyFont="1" applyAlignment="1">
      <alignment vertical="center"/>
    </xf>
    <xf numFmtId="4" fontId="45" fillId="0" borderId="4" xfId="0" applyNumberFormat="1" applyFont="1" applyBorder="1" applyAlignment="1">
      <alignment horizontal="right" vertical="center"/>
    </xf>
    <xf numFmtId="4" fontId="53" fillId="0" borderId="4" xfId="0" applyNumberFormat="1" applyFont="1" applyBorder="1" applyAlignment="1">
      <alignment horizontal="right" vertical="center"/>
    </xf>
    <xf numFmtId="43" fontId="86" fillId="0" borderId="0" xfId="0" applyNumberFormat="1" applyFont="1" applyAlignment="1">
      <alignment horizontal="center"/>
    </xf>
    <xf numFmtId="0" fontId="104" fillId="0" borderId="4" xfId="0" applyFont="1" applyBorder="1" applyAlignment="1">
      <alignment horizontal="left" vertical="center" wrapText="1"/>
    </xf>
    <xf numFmtId="43" fontId="105" fillId="0" borderId="4" xfId="0" applyNumberFormat="1" applyFont="1" applyBorder="1"/>
    <xf numFmtId="4" fontId="106" fillId="0" borderId="4" xfId="1" applyNumberFormat="1" applyFont="1" applyBorder="1" applyAlignment="1">
      <alignment horizontal="center" vertical="center" wrapText="1"/>
    </xf>
    <xf numFmtId="4" fontId="44" fillId="0" borderId="18" xfId="1" applyNumberFormat="1" applyFont="1" applyBorder="1" applyAlignment="1">
      <alignment horizontal="center" vertical="center" wrapText="1"/>
    </xf>
    <xf numFmtId="4" fontId="81" fillId="2" borderId="10" xfId="6" applyNumberFormat="1" applyFont="1" applyFill="1" applyBorder="1" applyAlignment="1">
      <alignment horizontal="right" vertical="center" wrapText="1"/>
    </xf>
    <xf numFmtId="4" fontId="45" fillId="0" borderId="4" xfId="0" applyNumberFormat="1" applyFont="1" applyBorder="1"/>
    <xf numFmtId="0" fontId="107" fillId="53" borderId="4" xfId="0" applyFont="1" applyFill="1" applyBorder="1" applyAlignment="1">
      <alignment horizontal="center" vertical="center"/>
    </xf>
    <xf numFmtId="43" fontId="85" fillId="0" borderId="4" xfId="0" applyNumberFormat="1" applyFont="1" applyBorder="1"/>
    <xf numFmtId="43" fontId="108" fillId="0" borderId="4" xfId="0" applyNumberFormat="1" applyFont="1" applyBorder="1"/>
    <xf numFmtId="4" fontId="17" fillId="0" borderId="4" xfId="0" applyNumberFormat="1" applyFont="1" applyBorder="1"/>
    <xf numFmtId="4" fontId="18" fillId="0" borderId="4" xfId="0" applyNumberFormat="1" applyFont="1" applyBorder="1" applyAlignment="1">
      <alignment horizontal="right" vertical="center"/>
    </xf>
    <xf numFmtId="4" fontId="7" fillId="0" borderId="4" xfId="0" applyNumberFormat="1" applyFont="1" applyBorder="1" applyAlignment="1">
      <alignment horizontal="right" vertical="center"/>
    </xf>
    <xf numFmtId="0" fontId="21" fillId="2" borderId="10" xfId="6" applyFont="1" applyFill="1" applyBorder="1" applyAlignment="1">
      <alignment horizontal="left" vertical="center" wrapText="1"/>
    </xf>
    <xf numFmtId="0" fontId="21" fillId="0" borderId="4" xfId="6" applyFont="1" applyBorder="1" applyAlignment="1">
      <alignment horizontal="left" vertical="center" wrapText="1"/>
    </xf>
    <xf numFmtId="4" fontId="20" fillId="0" borderId="4" xfId="0" applyNumberFormat="1" applyFont="1" applyBorder="1" applyAlignment="1">
      <alignment horizontal="right" vertical="center"/>
    </xf>
    <xf numFmtId="4" fontId="20" fillId="2" borderId="8" xfId="0" applyNumberFormat="1" applyFont="1" applyFill="1" applyBorder="1" applyAlignment="1">
      <alignment horizontal="right" vertical="center"/>
    </xf>
    <xf numFmtId="0" fontId="20" fillId="0" borderId="4" xfId="0" quotePrefix="1" applyFont="1" applyBorder="1" applyAlignment="1">
      <alignment horizontal="center" vertical="center"/>
    </xf>
    <xf numFmtId="0" fontId="21" fillId="2" borderId="10" xfId="0" applyFont="1" applyFill="1" applyBorder="1" applyAlignment="1">
      <alignment horizontal="justify" vertical="center" wrapText="1"/>
    </xf>
    <xf numFmtId="0" fontId="20" fillId="0" borderId="4" xfId="7" applyFont="1" applyBorder="1" applyAlignment="1">
      <alignment horizontal="center" vertical="center"/>
    </xf>
    <xf numFmtId="4" fontId="20" fillId="0" borderId="8" xfId="0" applyNumberFormat="1" applyFont="1" applyBorder="1" applyAlignment="1">
      <alignment vertical="center"/>
    </xf>
    <xf numFmtId="0" fontId="21" fillId="0" borderId="4" xfId="0" applyFont="1" applyBorder="1" applyAlignment="1">
      <alignment horizontal="center"/>
    </xf>
    <xf numFmtId="4" fontId="20" fillId="0" borderId="10" xfId="0" applyNumberFormat="1" applyFont="1" applyBorder="1" applyAlignment="1">
      <alignment horizontal="right" vertical="center"/>
    </xf>
    <xf numFmtId="4" fontId="23" fillId="2" borderId="4" xfId="0" applyNumberFormat="1" applyFont="1" applyFill="1" applyBorder="1" applyAlignment="1">
      <alignment horizontal="right" vertical="center"/>
    </xf>
    <xf numFmtId="0" fontId="70" fillId="0" borderId="0" xfId="0" applyFont="1" applyAlignment="1">
      <alignment horizontal="center"/>
    </xf>
    <xf numFmtId="0" fontId="0" fillId="2" borderId="0" xfId="0" applyFill="1" applyAlignment="1">
      <alignment horizontal="center"/>
    </xf>
    <xf numFmtId="0" fontId="70" fillId="48" borderId="0" xfId="0" applyFont="1" applyFill="1" applyAlignment="1">
      <alignment horizontal="center"/>
    </xf>
    <xf numFmtId="0" fontId="10" fillId="6" borderId="4" xfId="0" applyFont="1" applyFill="1" applyBorder="1" applyAlignment="1">
      <alignment horizontal="justify" vertical="center" wrapText="1" readingOrder="1"/>
    </xf>
    <xf numFmtId="0" fontId="7" fillId="0" borderId="4" xfId="4" applyFont="1" applyBorder="1" applyAlignment="1">
      <alignment horizontal="justify" vertical="center"/>
    </xf>
    <xf numFmtId="0" fontId="7" fillId="0" borderId="4" xfId="0" quotePrefix="1" applyFont="1" applyBorder="1" applyAlignment="1">
      <alignment horizontal="center" vertical="center"/>
    </xf>
    <xf numFmtId="0" fontId="7" fillId="0" borderId="17" xfId="0" applyFont="1" applyBorder="1" applyAlignment="1">
      <alignment horizontal="center" vertical="center"/>
    </xf>
    <xf numFmtId="4" fontId="70" fillId="2" borderId="4" xfId="0" applyNumberFormat="1" applyFont="1" applyFill="1" applyBorder="1"/>
    <xf numFmtId="0" fontId="74" fillId="49" borderId="44" xfId="0" applyFont="1" applyFill="1" applyBorder="1" applyAlignment="1">
      <alignment horizontal="center" vertical="center"/>
    </xf>
    <xf numFmtId="0" fontId="10" fillId="49" borderId="45" xfId="0" applyFont="1" applyFill="1" applyBorder="1" applyAlignment="1">
      <alignment horizontal="center" vertical="center" wrapText="1"/>
    </xf>
    <xf numFmtId="0" fontId="74" fillId="49" borderId="45" xfId="0" applyFont="1" applyFill="1" applyBorder="1" applyAlignment="1">
      <alignment vertical="center"/>
    </xf>
    <xf numFmtId="164" fontId="74" fillId="49" borderId="45" xfId="0" applyNumberFormat="1" applyFont="1" applyFill="1" applyBorder="1" applyAlignment="1">
      <alignment vertical="center" wrapText="1"/>
    </xf>
    <xf numFmtId="0" fontId="10" fillId="2" borderId="0" xfId="0" applyFont="1" applyFill="1" applyAlignment="1">
      <alignment horizontal="center" vertical="center"/>
    </xf>
    <xf numFmtId="0" fontId="75" fillId="2" borderId="0" xfId="0" applyFont="1" applyFill="1" applyAlignment="1">
      <alignment vertical="center"/>
    </xf>
    <xf numFmtId="4" fontId="75" fillId="2" borderId="0" xfId="0" applyNumberFormat="1" applyFont="1" applyFill="1"/>
    <xf numFmtId="0" fontId="10" fillId="2" borderId="0" xfId="0" applyFont="1" applyFill="1" applyAlignment="1">
      <alignment vertical="center"/>
    </xf>
    <xf numFmtId="4" fontId="10" fillId="2" borderId="0" xfId="0" applyNumberFormat="1" applyFont="1" applyFill="1"/>
    <xf numFmtId="0" fontId="7" fillId="2" borderId="17" xfId="0" applyFont="1" applyFill="1" applyBorder="1" applyAlignment="1">
      <alignment horizontal="justify" vertical="center" wrapText="1" readingOrder="1"/>
    </xf>
    <xf numFmtId="14" fontId="45" fillId="2" borderId="4" xfId="0" applyNumberFormat="1" applyFont="1" applyFill="1" applyBorder="1" applyAlignment="1">
      <alignment horizontal="center" vertical="center"/>
    </xf>
    <xf numFmtId="0" fontId="62" fillId="2" borderId="4" xfId="0" applyFont="1" applyFill="1" applyBorder="1" applyAlignment="1">
      <alignment horizontal="left" vertical="center" wrapText="1"/>
    </xf>
    <xf numFmtId="0" fontId="109" fillId="2" borderId="4" xfId="0" applyFont="1" applyFill="1" applyBorder="1" applyAlignment="1">
      <alignment horizontal="left" vertical="center" wrapText="1"/>
    </xf>
    <xf numFmtId="0" fontId="7" fillId="0" borderId="17" xfId="0" applyFont="1" applyBorder="1" applyAlignment="1">
      <alignment horizontal="justify" vertical="center" wrapText="1" readingOrder="1"/>
    </xf>
    <xf numFmtId="0" fontId="7" fillId="2" borderId="4" xfId="0" applyFont="1" applyFill="1" applyBorder="1" applyAlignment="1">
      <alignment horizontal="justify" vertical="center" wrapText="1" readingOrder="1"/>
    </xf>
    <xf numFmtId="14" fontId="3" fillId="2" borderId="4" xfId="0" applyNumberFormat="1" applyFont="1" applyFill="1" applyBorder="1" applyAlignment="1">
      <alignment horizontal="center" vertical="center" wrapText="1"/>
    </xf>
    <xf numFmtId="4" fontId="70" fillId="2" borderId="17" xfId="4" applyNumberFormat="1" applyFont="1" applyFill="1" applyBorder="1" applyAlignment="1">
      <alignment vertical="center" wrapText="1"/>
    </xf>
    <xf numFmtId="0" fontId="107" fillId="52" borderId="4" xfId="0" applyFont="1" applyFill="1" applyBorder="1" applyAlignment="1">
      <alignment horizontal="center" vertical="center"/>
    </xf>
    <xf numFmtId="0" fontId="17" fillId="2" borderId="0" xfId="0" applyFont="1" applyFill="1" applyAlignment="1">
      <alignment horizontal="center" vertical="center" wrapText="1"/>
    </xf>
    <xf numFmtId="4" fontId="7" fillId="2" borderId="10" xfId="0" applyNumberFormat="1" applyFont="1" applyFill="1" applyBorder="1" applyAlignment="1">
      <alignment vertical="center"/>
    </xf>
    <xf numFmtId="4" fontId="56" fillId="0" borderId="10" xfId="1" applyNumberFormat="1" applyFont="1" applyBorder="1" applyAlignment="1">
      <alignment horizontal="center" vertical="center" wrapText="1"/>
    </xf>
    <xf numFmtId="4" fontId="44" fillId="0" borderId="10" xfId="1" applyNumberFormat="1" applyFont="1" applyBorder="1" applyAlignment="1">
      <alignment horizontal="center" vertical="center" wrapText="1"/>
    </xf>
    <xf numFmtId="165" fontId="7" fillId="0" borderId="17" xfId="0" applyNumberFormat="1" applyFont="1" applyBorder="1" applyAlignment="1">
      <alignment horizontal="right" vertical="center"/>
    </xf>
    <xf numFmtId="4" fontId="10" fillId="41" borderId="41" xfId="1" applyNumberFormat="1" applyFont="1" applyFill="1" applyBorder="1" applyAlignment="1">
      <alignment wrapText="1"/>
    </xf>
    <xf numFmtId="4" fontId="10" fillId="41" borderId="42" xfId="1" applyNumberFormat="1" applyFont="1" applyFill="1" applyBorder="1" applyAlignment="1">
      <alignment wrapText="1"/>
    </xf>
    <xf numFmtId="14" fontId="7" fillId="2" borderId="4" xfId="0" applyNumberFormat="1" applyFont="1" applyFill="1" applyBorder="1" applyAlignment="1">
      <alignment horizontal="center" vertical="center" wrapText="1"/>
    </xf>
    <xf numFmtId="14" fontId="21" fillId="2" borderId="4" xfId="0" applyNumberFormat="1" applyFont="1" applyFill="1" applyBorder="1" applyAlignment="1">
      <alignment horizontal="center"/>
    </xf>
    <xf numFmtId="4" fontId="74" fillId="2" borderId="0" xfId="0" applyNumberFormat="1" applyFont="1" applyFill="1"/>
    <xf numFmtId="4" fontId="70" fillId="0" borderId="0" xfId="0" applyNumberFormat="1" applyFont="1"/>
    <xf numFmtId="0" fontId="72" fillId="48" borderId="0" xfId="0" applyFont="1" applyFill="1" applyAlignment="1">
      <alignment horizontal="center"/>
    </xf>
    <xf numFmtId="4" fontId="87" fillId="0" borderId="4" xfId="0" applyNumberFormat="1" applyFont="1" applyBorder="1" applyAlignment="1">
      <alignment vertical="center"/>
    </xf>
    <xf numFmtId="4" fontId="111" fillId="2" borderId="4" xfId="0" applyNumberFormat="1" applyFont="1" applyFill="1" applyBorder="1"/>
    <xf numFmtId="4" fontId="111" fillId="0" borderId="4" xfId="0" applyNumberFormat="1" applyFont="1" applyBorder="1"/>
    <xf numFmtId="4" fontId="87" fillId="2" borderId="4" xfId="0" applyNumberFormat="1" applyFont="1" applyFill="1" applyBorder="1" applyAlignment="1">
      <alignment vertical="center"/>
    </xf>
    <xf numFmtId="174" fontId="111" fillId="0" borderId="4" xfId="0" applyNumberFormat="1" applyFont="1" applyBorder="1"/>
    <xf numFmtId="0" fontId="61" fillId="0" borderId="0" xfId="0" applyFont="1" applyAlignment="1">
      <alignment horizontal="center" vertical="center"/>
    </xf>
    <xf numFmtId="0" fontId="110" fillId="0" borderId="0" xfId="0" applyFont="1"/>
    <xf numFmtId="0" fontId="10" fillId="6" borderId="17" xfId="0" applyFont="1" applyFill="1" applyBorder="1" applyAlignment="1">
      <alignment horizontal="justify" vertical="center" wrapText="1" readingOrder="1"/>
    </xf>
    <xf numFmtId="0" fontId="7" fillId="2" borderId="17" xfId="4" applyFont="1" applyFill="1" applyBorder="1" applyAlignment="1">
      <alignment horizontal="justify" vertical="center"/>
    </xf>
    <xf numFmtId="0" fontId="61" fillId="0" borderId="4" xfId="0" applyFont="1" applyBorder="1" applyAlignment="1">
      <alignment horizontal="center" vertical="center"/>
    </xf>
    <xf numFmtId="0" fontId="113" fillId="50" borderId="4" xfId="0" applyFont="1" applyFill="1" applyBorder="1"/>
    <xf numFmtId="0" fontId="114" fillId="50" borderId="4" xfId="0" applyFont="1" applyFill="1" applyBorder="1" applyAlignment="1">
      <alignment horizontal="center" vertical="center"/>
    </xf>
    <xf numFmtId="0" fontId="61" fillId="50" borderId="0" xfId="0" applyFont="1" applyFill="1" applyAlignment="1">
      <alignment horizontal="center" vertical="center"/>
    </xf>
    <xf numFmtId="0" fontId="0" fillId="50" borderId="0" xfId="0" applyFill="1"/>
    <xf numFmtId="0" fontId="76" fillId="50" borderId="0" xfId="0" applyFont="1" applyFill="1" applyAlignment="1">
      <alignment horizontal="center"/>
    </xf>
    <xf numFmtId="4" fontId="7" fillId="0" borderId="36" xfId="0" applyNumberFormat="1" applyFont="1" applyBorder="1" applyAlignment="1">
      <alignment horizontal="justify" vertical="center" wrapText="1" readingOrder="1"/>
    </xf>
    <xf numFmtId="0" fontId="7" fillId="2" borderId="17" xfId="0" applyFont="1" applyFill="1" applyBorder="1" applyAlignment="1">
      <alignment vertical="center" wrapText="1"/>
    </xf>
    <xf numFmtId="0" fontId="76" fillId="48" borderId="4" xfId="0" applyFont="1" applyFill="1" applyBorder="1"/>
    <xf numFmtId="0" fontId="76" fillId="48" borderId="8" xfId="0" applyFont="1" applyFill="1" applyBorder="1"/>
    <xf numFmtId="0" fontId="74" fillId="2" borderId="0" xfId="0" applyFont="1" applyFill="1" applyAlignment="1">
      <alignment vertical="center"/>
    </xf>
    <xf numFmtId="0" fontId="7" fillId="0" borderId="17" xfId="4" applyFont="1" applyBorder="1" applyAlignment="1">
      <alignment horizontal="justify" vertical="center"/>
    </xf>
    <xf numFmtId="4" fontId="10" fillId="6" borderId="10" xfId="0" applyNumberFormat="1" applyFont="1" applyFill="1" applyBorder="1" applyAlignment="1">
      <alignment vertical="center"/>
    </xf>
    <xf numFmtId="0" fontId="74" fillId="49" borderId="46" xfId="0" applyFont="1" applyFill="1" applyBorder="1" applyAlignment="1">
      <alignment vertical="center"/>
    </xf>
    <xf numFmtId="164" fontId="74" fillId="49" borderId="10" xfId="0" applyNumberFormat="1" applyFont="1" applyFill="1" applyBorder="1" applyAlignment="1">
      <alignment vertical="center" wrapText="1"/>
    </xf>
    <xf numFmtId="0" fontId="7" fillId="2" borderId="17" xfId="0" applyFont="1" applyFill="1" applyBorder="1" applyAlignment="1">
      <alignment horizontal="center" vertical="center" wrapText="1"/>
    </xf>
    <xf numFmtId="0" fontId="10" fillId="6" borderId="10" xfId="0" applyFont="1" applyFill="1" applyBorder="1" applyAlignment="1">
      <alignment horizontal="justify" vertical="center" wrapText="1" readingOrder="1"/>
    </xf>
    <xf numFmtId="0" fontId="10" fillId="49" borderId="46" xfId="0" applyFont="1" applyFill="1" applyBorder="1" applyAlignment="1">
      <alignment horizontal="center" vertical="center" wrapText="1"/>
    </xf>
    <xf numFmtId="0" fontId="74" fillId="49" borderId="10" xfId="0" applyFont="1" applyFill="1" applyBorder="1" applyAlignment="1">
      <alignment vertical="center"/>
    </xf>
    <xf numFmtId="4" fontId="7" fillId="2" borderId="4" xfId="0" applyNumberFormat="1" applyFont="1" applyFill="1" applyBorder="1" applyAlignment="1">
      <alignment horizontal="justify" vertical="center" wrapText="1"/>
    </xf>
    <xf numFmtId="4" fontId="7" fillId="2" borderId="4" xfId="0" applyNumberFormat="1" applyFont="1" applyFill="1" applyBorder="1" applyAlignment="1">
      <alignment horizontal="left" vertical="center" wrapText="1"/>
    </xf>
    <xf numFmtId="0" fontId="7" fillId="2" borderId="4" xfId="0" applyFont="1" applyFill="1" applyBorder="1" applyAlignment="1">
      <alignment horizontal="justify" vertical="center"/>
    </xf>
    <xf numFmtId="0" fontId="115" fillId="57" borderId="4" xfId="0" applyFont="1" applyFill="1" applyBorder="1"/>
    <xf numFmtId="43" fontId="115" fillId="57" borderId="4" xfId="0" applyNumberFormat="1" applyFont="1" applyFill="1" applyBorder="1"/>
    <xf numFmtId="43" fontId="115" fillId="57" borderId="4" xfId="0" applyNumberFormat="1" applyFont="1" applyFill="1" applyBorder="1" applyAlignment="1">
      <alignment horizontal="center" vertical="center"/>
    </xf>
    <xf numFmtId="4" fontId="116" fillId="0" borderId="4" xfId="0" applyNumberFormat="1" applyFont="1" applyBorder="1" applyAlignment="1">
      <alignment horizontal="center" vertical="center"/>
    </xf>
    <xf numFmtId="4" fontId="117" fillId="0" borderId="4" xfId="0" applyNumberFormat="1" applyFont="1" applyBorder="1" applyAlignment="1">
      <alignment horizontal="center" vertical="center"/>
    </xf>
    <xf numFmtId="0" fontId="7" fillId="0" borderId="4" xfId="0" applyFont="1" applyBorder="1" applyAlignment="1">
      <alignment horizontal="justify" vertical="center" wrapText="1" readingOrder="1"/>
    </xf>
    <xf numFmtId="4" fontId="120" fillId="0" borderId="4" xfId="1" applyNumberFormat="1" applyFont="1" applyBorder="1" applyAlignment="1">
      <alignment horizontal="center" vertical="center" wrapText="1"/>
    </xf>
    <xf numFmtId="4" fontId="121" fillId="0" borderId="4" xfId="1" applyNumberFormat="1" applyFont="1" applyBorder="1" applyAlignment="1">
      <alignment horizontal="center" vertical="center" wrapText="1"/>
    </xf>
    <xf numFmtId="4" fontId="0" fillId="0" borderId="4" xfId="0" applyNumberFormat="1" applyBorder="1" applyAlignment="1">
      <alignment vertical="center"/>
    </xf>
    <xf numFmtId="0" fontId="122" fillId="0" borderId="0" xfId="0" applyFont="1" applyAlignment="1">
      <alignment horizontal="left" wrapText="1"/>
    </xf>
    <xf numFmtId="4" fontId="17" fillId="2" borderId="4" xfId="0" applyNumberFormat="1" applyFont="1" applyFill="1" applyBorder="1" applyAlignment="1">
      <alignment vertical="center" wrapText="1"/>
    </xf>
    <xf numFmtId="0" fontId="9" fillId="0" borderId="4" xfId="0" applyFont="1" applyBorder="1" applyAlignment="1">
      <alignment horizontal="center" wrapText="1"/>
    </xf>
    <xf numFmtId="43" fontId="123" fillId="0" borderId="0" xfId="0" applyNumberFormat="1" applyFont="1" applyAlignment="1">
      <alignment vertical="center"/>
    </xf>
    <xf numFmtId="43" fontId="78" fillId="0" borderId="0" xfId="0" applyNumberFormat="1" applyFont="1"/>
    <xf numFmtId="0" fontId="78" fillId="0" borderId="0" xfId="0" applyFont="1" applyAlignment="1">
      <alignment horizontal="center"/>
    </xf>
    <xf numFmtId="0" fontId="124" fillId="0" borderId="0" xfId="0" applyFont="1" applyAlignment="1">
      <alignment horizontal="left" vertical="center"/>
    </xf>
    <xf numFmtId="0" fontId="125" fillId="0" borderId="4" xfId="0" applyFont="1" applyBorder="1" applyAlignment="1">
      <alignment horizontal="center" vertical="center"/>
    </xf>
    <xf numFmtId="0" fontId="20" fillId="0" borderId="8" xfId="0" applyFont="1" applyBorder="1" applyAlignment="1">
      <alignment horizontal="center" vertical="center"/>
    </xf>
    <xf numFmtId="43" fontId="20" fillId="0" borderId="8" xfId="1" applyFont="1" applyBorder="1" applyAlignment="1">
      <alignment horizontal="right" vertical="center"/>
    </xf>
    <xf numFmtId="0" fontId="75" fillId="0" borderId="4" xfId="0" applyFont="1" applyBorder="1" applyAlignment="1">
      <alignment horizontal="center" vertical="center" wrapText="1"/>
    </xf>
    <xf numFmtId="4" fontId="126" fillId="2" borderId="4" xfId="0" applyNumberFormat="1" applyFont="1" applyFill="1" applyBorder="1" applyAlignment="1">
      <alignment vertical="center"/>
    </xf>
    <xf numFmtId="4" fontId="120" fillId="0" borderId="10" xfId="1" applyNumberFormat="1" applyFont="1" applyBorder="1" applyAlignment="1">
      <alignment horizontal="center" vertical="center" wrapText="1"/>
    </xf>
    <xf numFmtId="4" fontId="0" fillId="2" borderId="4" xfId="0" applyNumberFormat="1" applyFill="1" applyBorder="1" applyAlignment="1">
      <alignment vertical="center"/>
    </xf>
    <xf numFmtId="4" fontId="80" fillId="0" borderId="0" xfId="0" applyNumberFormat="1" applyFont="1"/>
    <xf numFmtId="4" fontId="61" fillId="0" borderId="4" xfId="0" applyNumberFormat="1" applyFont="1" applyBorder="1" applyAlignment="1">
      <alignment horizontal="center" vertical="center"/>
    </xf>
    <xf numFmtId="4" fontId="87" fillId="58" borderId="4" xfId="0" applyNumberFormat="1" applyFont="1" applyFill="1" applyBorder="1" applyAlignment="1">
      <alignment vertical="center"/>
    </xf>
    <xf numFmtId="43" fontId="111" fillId="58" borderId="4" xfId="0" applyNumberFormat="1" applyFont="1" applyFill="1" applyBorder="1"/>
    <xf numFmtId="14" fontId="7" fillId="2" borderId="4" xfId="0" quotePrefix="1" applyNumberFormat="1" applyFont="1" applyFill="1" applyBorder="1" applyAlignment="1">
      <alignment horizontal="center" vertical="center"/>
    </xf>
    <xf numFmtId="4" fontId="0" fillId="0" borderId="0" xfId="0" applyNumberFormat="1" applyAlignment="1">
      <alignment vertical="center"/>
    </xf>
    <xf numFmtId="4" fontId="20" fillId="0" borderId="8" xfId="0" applyNumberFormat="1" applyFont="1" applyBorder="1" applyAlignment="1">
      <alignment horizontal="right" vertical="center"/>
    </xf>
    <xf numFmtId="0" fontId="107" fillId="0" borderId="0" xfId="0" applyFont="1" applyAlignment="1">
      <alignment horizontal="center" vertical="center" wrapText="1"/>
    </xf>
    <xf numFmtId="0" fontId="107" fillId="0" borderId="0" xfId="0" applyFont="1" applyAlignment="1">
      <alignment horizontal="center" vertical="center"/>
    </xf>
    <xf numFmtId="4" fontId="128" fillId="0" borderId="4" xfId="0" applyNumberFormat="1" applyFont="1" applyBorder="1" applyAlignment="1">
      <alignment vertical="center"/>
    </xf>
    <xf numFmtId="4" fontId="3" fillId="2" borderId="4" xfId="0" applyNumberFormat="1" applyFont="1" applyFill="1" applyBorder="1" applyAlignment="1">
      <alignment horizontal="center" vertical="center"/>
    </xf>
    <xf numFmtId="4" fontId="129" fillId="0" borderId="9" xfId="0" applyNumberFormat="1" applyFont="1" applyBorder="1" applyAlignment="1">
      <alignment horizontal="right"/>
    </xf>
    <xf numFmtId="0" fontId="130" fillId="2" borderId="4"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4" fontId="130" fillId="2" borderId="4" xfId="0" applyNumberFormat="1" applyFont="1" applyFill="1" applyBorder="1" applyAlignment="1">
      <alignment horizontal="center" vertical="center" wrapText="1"/>
    </xf>
    <xf numFmtId="4" fontId="6" fillId="2" borderId="10" xfId="0" applyNumberFormat="1" applyFont="1" applyFill="1" applyBorder="1" applyAlignment="1">
      <alignment wrapText="1"/>
    </xf>
    <xf numFmtId="4" fontId="7" fillId="2" borderId="10" xfId="0" applyNumberFormat="1" applyFont="1" applyFill="1" applyBorder="1" applyAlignment="1">
      <alignment horizontal="center" vertical="center" wrapText="1"/>
    </xf>
    <xf numFmtId="0" fontId="7" fillId="2" borderId="4" xfId="6" applyFont="1" applyFill="1" applyBorder="1" applyAlignment="1">
      <alignment horizontal="left" vertical="center" wrapText="1"/>
    </xf>
    <xf numFmtId="0" fontId="6" fillId="2" borderId="4" xfId="6" applyFont="1" applyFill="1" applyBorder="1" applyAlignment="1">
      <alignment horizontal="left" vertical="center" wrapText="1"/>
    </xf>
    <xf numFmtId="14" fontId="7" fillId="0" borderId="4" xfId="0" applyNumberFormat="1" applyFont="1" applyBorder="1" applyAlignment="1">
      <alignment horizontal="center" vertical="center" wrapText="1"/>
    </xf>
    <xf numFmtId="43" fontId="7" fillId="0" borderId="8" xfId="1" applyFont="1" applyBorder="1" applyAlignment="1">
      <alignment horizontal="right" vertical="center"/>
    </xf>
    <xf numFmtId="0" fontId="6" fillId="2" borderId="10" xfId="6" applyFont="1" applyFill="1" applyBorder="1" applyAlignment="1">
      <alignment horizontal="left" vertical="center" wrapText="1"/>
    </xf>
    <xf numFmtId="0" fontId="130"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30" fillId="0" borderId="4" xfId="0" applyFont="1" applyBorder="1" applyAlignment="1">
      <alignment horizontal="left" vertical="center" wrapText="1"/>
    </xf>
    <xf numFmtId="0" fontId="7" fillId="0" borderId="4" xfId="0" applyFont="1" applyBorder="1" applyAlignment="1">
      <alignment horizontal="left" vertical="center" wrapText="1"/>
    </xf>
    <xf numFmtId="165" fontId="7" fillId="2" borderId="4" xfId="0" applyNumberFormat="1" applyFont="1" applyFill="1" applyBorder="1" applyAlignment="1">
      <alignment horizontal="right" vertical="center"/>
    </xf>
    <xf numFmtId="0" fontId="130" fillId="5"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0" borderId="0" xfId="0" applyFont="1"/>
    <xf numFmtId="4" fontId="106" fillId="0" borderId="10" xfId="1" applyNumberFormat="1" applyFont="1" applyBorder="1" applyAlignment="1">
      <alignment horizontal="center" vertical="center" wrapText="1"/>
    </xf>
    <xf numFmtId="4" fontId="0" fillId="0" borderId="10" xfId="0" applyNumberFormat="1" applyBorder="1" applyAlignment="1">
      <alignment vertical="center"/>
    </xf>
    <xf numFmtId="0" fontId="6" fillId="0" borderId="10" xfId="0" applyFont="1" applyBorder="1" applyAlignment="1">
      <alignment vertical="center" wrapText="1"/>
    </xf>
    <xf numFmtId="14" fontId="10" fillId="2" borderId="10" xfId="0" applyNumberFormat="1" applyFont="1" applyFill="1" applyBorder="1" applyAlignment="1">
      <alignment horizontal="center" vertical="center" wrapText="1"/>
    </xf>
    <xf numFmtId="0" fontId="7" fillId="0" borderId="10" xfId="0" applyFont="1" applyBorder="1" applyAlignment="1">
      <alignment horizontal="left" vertical="center" wrapText="1"/>
    </xf>
    <xf numFmtId="165" fontId="7" fillId="2" borderId="10" xfId="0" applyNumberFormat="1" applyFont="1" applyFill="1" applyBorder="1" applyAlignment="1">
      <alignment horizontal="right" vertical="center" wrapText="1"/>
    </xf>
    <xf numFmtId="4" fontId="120" fillId="0" borderId="0" xfId="1" applyNumberFormat="1" applyFont="1" applyAlignment="1">
      <alignment horizontal="center" vertical="center" wrapText="1"/>
    </xf>
    <xf numFmtId="0" fontId="20" fillId="0" borderId="4" xfId="0" applyFont="1" applyBorder="1" applyAlignment="1">
      <alignment horizontal="center"/>
    </xf>
    <xf numFmtId="0" fontId="21" fillId="2" borderId="10" xfId="0" quotePrefix="1" applyFont="1" applyFill="1" applyBorder="1" applyAlignment="1">
      <alignment horizontal="center"/>
    </xf>
    <xf numFmtId="0" fontId="6" fillId="0" borderId="4" xfId="0" applyFont="1" applyBorder="1" applyAlignment="1">
      <alignment horizontal="center"/>
    </xf>
    <xf numFmtId="0" fontId="14" fillId="0" borderId="4" xfId="0" applyFont="1" applyBorder="1"/>
    <xf numFmtId="165" fontId="10" fillId="0" borderId="10" xfId="0" applyNumberFormat="1" applyFont="1" applyBorder="1" applyAlignment="1">
      <alignment horizontal="right" vertical="center"/>
    </xf>
    <xf numFmtId="165" fontId="10" fillId="0" borderId="4" xfId="0" applyNumberFormat="1" applyFont="1" applyBorder="1" applyAlignment="1">
      <alignment horizontal="right" vertical="center"/>
    </xf>
    <xf numFmtId="0" fontId="20" fillId="2" borderId="10" xfId="0" quotePrefix="1" applyFont="1" applyFill="1" applyBorder="1" applyAlignment="1">
      <alignment horizontal="center" vertical="center" wrapText="1"/>
    </xf>
    <xf numFmtId="4" fontId="20" fillId="2" borderId="4" xfId="0" applyNumberFormat="1" applyFont="1" applyFill="1" applyBorder="1" applyAlignment="1">
      <alignment horizontal="right" vertical="center"/>
    </xf>
    <xf numFmtId="4" fontId="7" fillId="2" borderId="10" xfId="0" applyNumberFormat="1" applyFont="1" applyFill="1" applyBorder="1" applyAlignment="1">
      <alignment horizontal="right" vertical="center"/>
    </xf>
    <xf numFmtId="0" fontId="21" fillId="2" borderId="4" xfId="0" quotePrefix="1" applyFont="1" applyFill="1" applyBorder="1" applyAlignment="1">
      <alignment horizontal="center"/>
    </xf>
    <xf numFmtId="0" fontId="20" fillId="0" borderId="0" xfId="0" applyFont="1" applyAlignment="1">
      <alignment wrapText="1"/>
    </xf>
    <xf numFmtId="4" fontId="133" fillId="0" borderId="4" xfId="1" applyNumberFormat="1" applyFont="1" applyBorder="1" applyAlignment="1">
      <alignment horizontal="center" vertical="center" wrapText="1"/>
    </xf>
    <xf numFmtId="43" fontId="111" fillId="0" borderId="4" xfId="0" applyNumberFormat="1" applyFont="1" applyBorder="1"/>
    <xf numFmtId="0" fontId="20" fillId="2" borderId="10" xfId="0" applyFont="1" applyFill="1" applyBorder="1" applyAlignment="1">
      <alignment horizontal="right" vertical="center"/>
    </xf>
    <xf numFmtId="0" fontId="7" fillId="2" borderId="13" xfId="0" applyFont="1" applyFill="1" applyBorder="1" applyAlignment="1">
      <alignment vertical="center"/>
    </xf>
    <xf numFmtId="165" fontId="7" fillId="2" borderId="4" xfId="0" applyNumberFormat="1" applyFont="1" applyFill="1" applyBorder="1" applyAlignment="1">
      <alignment vertical="center"/>
    </xf>
    <xf numFmtId="0" fontId="131" fillId="2" borderId="4" xfId="0" applyFont="1" applyFill="1" applyBorder="1" applyAlignment="1">
      <alignment horizontal="justify" vertical="center" wrapText="1"/>
    </xf>
    <xf numFmtId="4" fontId="26" fillId="0" borderId="4" xfId="0" applyNumberFormat="1" applyFont="1" applyBorder="1" applyAlignment="1">
      <alignment vertical="center" wrapText="1"/>
    </xf>
    <xf numFmtId="0" fontId="131" fillId="2" borderId="8" xfId="0" applyFont="1" applyFill="1" applyBorder="1" applyAlignment="1">
      <alignment horizontal="justify" vertical="center" wrapText="1"/>
    </xf>
    <xf numFmtId="0" fontId="7" fillId="2" borderId="4" xfId="0" applyFont="1" applyFill="1" applyBorder="1" applyAlignment="1">
      <alignment horizontal="center" vertical="center"/>
    </xf>
    <xf numFmtId="0" fontId="6" fillId="0" borderId="4" xfId="0" applyFont="1" applyBorder="1" applyAlignment="1">
      <alignment horizontal="justify" vertical="center" wrapText="1"/>
    </xf>
    <xf numFmtId="4" fontId="7" fillId="2" borderId="4" xfId="0" applyNumberFormat="1" applyFont="1" applyFill="1" applyBorder="1" applyAlignment="1">
      <alignment horizontal="right" vertical="center"/>
    </xf>
    <xf numFmtId="4" fontId="130" fillId="0" borderId="4" xfId="0" applyNumberFormat="1" applyFont="1" applyBorder="1" applyAlignment="1">
      <alignment vertical="center"/>
    </xf>
    <xf numFmtId="0" fontId="130" fillId="0" borderId="8" xfId="0" applyFont="1" applyBorder="1" applyAlignment="1">
      <alignment horizontal="center" vertical="center"/>
    </xf>
    <xf numFmtId="0" fontId="130" fillId="0" borderId="4" xfId="0" applyFont="1" applyBorder="1" applyAlignment="1">
      <alignment horizontal="center" vertical="center"/>
    </xf>
    <xf numFmtId="0" fontId="6" fillId="0" borderId="8" xfId="6" applyFont="1" applyBorder="1" applyAlignment="1">
      <alignment horizontal="left" vertical="center" wrapText="1"/>
    </xf>
    <xf numFmtId="0" fontId="6" fillId="0" borderId="4" xfId="6" applyFont="1" applyBorder="1" applyAlignment="1">
      <alignment horizontal="left" vertical="center" wrapText="1"/>
    </xf>
    <xf numFmtId="0" fontId="6" fillId="2" borderId="10" xfId="0" applyFont="1" applyFill="1" applyBorder="1" applyAlignment="1">
      <alignment horizontal="left" vertical="center" wrapText="1"/>
    </xf>
    <xf numFmtId="0" fontId="129" fillId="0" borderId="4" xfId="0" applyFont="1" applyBorder="1" applyAlignment="1">
      <alignment horizontal="left" vertical="center" wrapText="1"/>
    </xf>
    <xf numFmtId="4" fontId="130" fillId="2" borderId="10" xfId="0" applyNumberFormat="1" applyFont="1" applyFill="1" applyBorder="1" applyAlignment="1">
      <alignment horizontal="right" vertical="center"/>
    </xf>
    <xf numFmtId="0" fontId="131" fillId="2" borderId="4" xfId="0" applyFont="1" applyFill="1" applyBorder="1" applyAlignment="1">
      <alignment horizontal="center" vertical="center" wrapText="1"/>
    </xf>
    <xf numFmtId="0" fontId="131" fillId="2" borderId="10" xfId="0" applyFont="1" applyFill="1" applyBorder="1" applyAlignment="1">
      <alignment horizontal="center" vertical="center" wrapText="1"/>
    </xf>
    <xf numFmtId="0" fontId="131" fillId="0" borderId="4" xfId="0" applyFont="1" applyBorder="1" applyAlignment="1">
      <alignment vertical="center" wrapText="1"/>
    </xf>
    <xf numFmtId="0" fontId="131" fillId="0" borderId="10" xfId="0" applyFont="1" applyBorder="1" applyAlignment="1">
      <alignment vertical="center" wrapText="1"/>
    </xf>
    <xf numFmtId="4" fontId="12" fillId="0" borderId="4" xfId="0" applyNumberFormat="1" applyFont="1" applyBorder="1" applyAlignment="1">
      <alignment horizontal="center" vertical="center" wrapText="1"/>
    </xf>
    <xf numFmtId="4" fontId="135" fillId="0" borderId="0" xfId="1" applyNumberFormat="1" applyFont="1" applyAlignment="1">
      <alignment horizontal="center" vertical="center" wrapText="1"/>
    </xf>
    <xf numFmtId="0" fontId="0" fillId="53" borderId="0" xfId="0" applyFill="1"/>
    <xf numFmtId="0" fontId="0" fillId="0" borderId="4" xfId="0" applyBorder="1" applyAlignment="1">
      <alignment wrapText="1"/>
    </xf>
    <xf numFmtId="173" fontId="113" fillId="0" borderId="0" xfId="0" applyNumberFormat="1" applyFont="1"/>
    <xf numFmtId="174" fontId="111" fillId="0" borderId="4" xfId="0" applyNumberFormat="1" applyFont="1" applyBorder="1" applyAlignment="1">
      <alignment vertical="center"/>
    </xf>
    <xf numFmtId="172" fontId="136" fillId="0" borderId="1" xfId="0" quotePrefix="1" applyNumberFormat="1" applyFont="1" applyBorder="1" applyAlignment="1">
      <alignment horizontal="center"/>
    </xf>
    <xf numFmtId="4" fontId="130" fillId="2" borderId="4" xfId="0" applyNumberFormat="1" applyFont="1" applyFill="1" applyBorder="1" applyAlignment="1">
      <alignment wrapText="1"/>
    </xf>
    <xf numFmtId="0" fontId="131" fillId="2" borderId="4" xfId="0" applyFont="1" applyFill="1" applyBorder="1" applyAlignment="1">
      <alignment vertical="center" wrapText="1"/>
    </xf>
    <xf numFmtId="0" fontId="130" fillId="0" borderId="4" xfId="0" applyFont="1" applyBorder="1" applyAlignment="1">
      <alignment vertical="center" wrapText="1"/>
    </xf>
    <xf numFmtId="0" fontId="131" fillId="0" borderId="4" xfId="0" applyFont="1" applyBorder="1" applyAlignment="1">
      <alignment vertical="center"/>
    </xf>
    <xf numFmtId="4" fontId="131" fillId="0" borderId="4" xfId="0" applyNumberFormat="1" applyFont="1" applyBorder="1" applyAlignment="1">
      <alignment vertical="center"/>
    </xf>
    <xf numFmtId="0" fontId="6" fillId="0" borderId="10" xfId="0" applyFont="1" applyBorder="1" applyAlignment="1">
      <alignment horizontal="justify" vertical="center" wrapText="1"/>
    </xf>
    <xf numFmtId="0" fontId="7" fillId="0" borderId="10" xfId="0" applyFont="1" applyBorder="1" applyAlignment="1">
      <alignment horizontal="center" vertical="center"/>
    </xf>
    <xf numFmtId="43" fontId="7" fillId="2" borderId="10" xfId="1" applyFont="1" applyFill="1" applyBorder="1" applyAlignment="1">
      <alignment horizontal="right" vertical="center"/>
    </xf>
    <xf numFmtId="0" fontId="6" fillId="2" borderId="4" xfId="0" applyFont="1" applyFill="1" applyBorder="1" applyAlignment="1">
      <alignment horizontal="center"/>
    </xf>
    <xf numFmtId="0" fontId="138" fillId="0" borderId="4" xfId="0" applyFont="1" applyBorder="1" applyAlignment="1">
      <alignment vertical="center" wrapText="1"/>
    </xf>
    <xf numFmtId="43" fontId="10" fillId="41" borderId="0" xfId="1" applyFont="1" applyFill="1" applyAlignment="1">
      <alignment horizontal="right"/>
    </xf>
    <xf numFmtId="4" fontId="10" fillId="41" borderId="0" xfId="1" applyNumberFormat="1" applyFont="1" applyFill="1" applyAlignment="1">
      <alignment horizontal="right"/>
    </xf>
    <xf numFmtId="4" fontId="10" fillId="41" borderId="7" xfId="1" applyNumberFormat="1" applyFont="1" applyFill="1" applyBorder="1" applyAlignment="1">
      <alignment horizontal="right" wrapText="1"/>
    </xf>
    <xf numFmtId="165" fontId="12" fillId="0" borderId="4" xfId="0" applyNumberFormat="1" applyFont="1" applyBorder="1" applyAlignment="1">
      <alignment horizontal="center" vertical="center" wrapText="1"/>
    </xf>
    <xf numFmtId="4" fontId="20" fillId="2" borderId="10" xfId="0" applyNumberFormat="1" applyFont="1" applyFill="1" applyBorder="1" applyAlignment="1">
      <alignment horizontal="center" vertical="center" wrapText="1"/>
    </xf>
    <xf numFmtId="43" fontId="0" fillId="0" borderId="0" xfId="0" applyNumberFormat="1"/>
    <xf numFmtId="175" fontId="0" fillId="0" borderId="0" xfId="0" applyNumberFormat="1"/>
    <xf numFmtId="0" fontId="10" fillId="0" borderId="4" xfId="0" applyFont="1" applyBorder="1" applyAlignment="1">
      <alignment horizontal="center" vertical="center" wrapText="1"/>
    </xf>
    <xf numFmtId="4" fontId="81" fillId="2" borderId="4" xfId="0" applyNumberFormat="1" applyFont="1" applyFill="1" applyBorder="1" applyAlignment="1">
      <alignment horizontal="left" vertical="center" wrapText="1"/>
    </xf>
    <xf numFmtId="0" fontId="12" fillId="2" borderId="4" xfId="0" applyFont="1" applyFill="1" applyBorder="1" applyAlignment="1">
      <alignment horizontal="center" vertical="center" wrapText="1"/>
    </xf>
    <xf numFmtId="4" fontId="111" fillId="0" borderId="4" xfId="0" applyNumberFormat="1" applyFont="1" applyBorder="1" applyAlignment="1">
      <alignment vertical="center"/>
    </xf>
    <xf numFmtId="4" fontId="142" fillId="0" borderId="4" xfId="1" applyNumberFormat="1" applyFont="1" applyBorder="1" applyAlignment="1">
      <alignment horizontal="center" vertical="center" wrapText="1"/>
    </xf>
    <xf numFmtId="4" fontId="106" fillId="60" borderId="4" xfId="1" applyNumberFormat="1" applyFont="1" applyFill="1" applyBorder="1" applyAlignment="1">
      <alignment horizontal="center" vertical="center" wrapText="1"/>
    </xf>
    <xf numFmtId="4" fontId="116" fillId="0" borderId="4" xfId="0" applyNumberFormat="1" applyFont="1" applyBorder="1" applyAlignment="1">
      <alignment horizontal="right" vertical="center"/>
    </xf>
    <xf numFmtId="2" fontId="0" fillId="0" borderId="4" xfId="0" applyNumberFormat="1" applyBorder="1"/>
    <xf numFmtId="4" fontId="45" fillId="0" borderId="5" xfId="1" applyNumberFormat="1" applyFont="1" applyBorder="1" applyAlignment="1">
      <alignment horizontal="center" vertical="center" wrapText="1"/>
    </xf>
    <xf numFmtId="0" fontId="20" fillId="2" borderId="8" xfId="6" applyFont="1" applyFill="1" applyBorder="1" applyAlignment="1">
      <alignment horizontal="left" vertical="center" wrapText="1"/>
    </xf>
    <xf numFmtId="0" fontId="12" fillId="0" borderId="0" xfId="0" applyFont="1" applyAlignment="1">
      <alignment vertical="center" wrapText="1"/>
    </xf>
    <xf numFmtId="4" fontId="143" fillId="0" borderId="0" xfId="1" applyNumberFormat="1" applyFont="1" applyAlignment="1">
      <alignment horizontal="center" vertical="center" wrapText="1"/>
    </xf>
    <xf numFmtId="4" fontId="18" fillId="0" borderId="0" xfId="0" applyNumberFormat="1" applyFont="1" applyAlignment="1">
      <alignment horizontal="right" vertical="center"/>
    </xf>
    <xf numFmtId="0" fontId="7" fillId="2" borderId="4" xfId="0" quotePrefix="1" applyFont="1" applyFill="1" applyBorder="1" applyAlignment="1">
      <alignment horizontal="center" vertical="center" wrapText="1"/>
    </xf>
    <xf numFmtId="0" fontId="0" fillId="0" borderId="10" xfId="0" applyBorder="1"/>
    <xf numFmtId="4" fontId="7" fillId="0" borderId="10" xfId="0" applyNumberFormat="1" applyFont="1" applyBorder="1" applyAlignment="1">
      <alignment vertical="center"/>
    </xf>
    <xf numFmtId="0" fontId="61" fillId="0" borderId="10" xfId="0" applyFont="1" applyBorder="1" applyAlignment="1">
      <alignment horizontal="center" vertical="center"/>
    </xf>
    <xf numFmtId="4" fontId="0" fillId="0" borderId="10" xfId="0" applyNumberFormat="1" applyBorder="1"/>
    <xf numFmtId="4" fontId="87" fillId="0" borderId="10" xfId="0" applyNumberFormat="1" applyFont="1" applyBorder="1" applyAlignment="1">
      <alignment vertical="center"/>
    </xf>
    <xf numFmtId="164" fontId="74" fillId="49" borderId="9" xfId="0" applyNumberFormat="1" applyFont="1" applyFill="1" applyBorder="1" applyAlignment="1">
      <alignment vertical="center" wrapText="1"/>
    </xf>
    <xf numFmtId="4" fontId="20" fillId="2" borderId="10" xfId="6" applyNumberFormat="1" applyFont="1" applyFill="1" applyBorder="1" applyAlignment="1">
      <alignment horizontal="right" vertical="center" wrapText="1"/>
    </xf>
    <xf numFmtId="14" fontId="6" fillId="59"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xf>
    <xf numFmtId="0" fontId="6" fillId="0" borderId="6" xfId="0" applyFont="1" applyBorder="1" applyAlignment="1">
      <alignment horizontal="center" vertical="center"/>
    </xf>
    <xf numFmtId="0" fontId="127" fillId="2" borderId="4" xfId="0" applyFont="1" applyFill="1" applyBorder="1" applyAlignment="1">
      <alignment horizontal="center" vertical="center" wrapText="1"/>
    </xf>
    <xf numFmtId="0" fontId="0" fillId="6" borderId="4" xfId="0" applyFill="1" applyBorder="1" applyAlignment="1">
      <alignment horizontal="center"/>
    </xf>
    <xf numFmtId="0" fontId="0" fillId="2" borderId="4" xfId="0" applyFill="1" applyBorder="1" applyAlignment="1">
      <alignment horizontal="center"/>
    </xf>
    <xf numFmtId="4" fontId="20" fillId="2" borderId="10" xfId="0" applyNumberFormat="1" applyFont="1" applyFill="1" applyBorder="1" applyAlignment="1">
      <alignment horizontal="center" vertical="center"/>
    </xf>
    <xf numFmtId="0" fontId="0" fillId="0" borderId="4" xfId="0" applyBorder="1" applyAlignment="1">
      <alignment horizontal="center"/>
    </xf>
    <xf numFmtId="0" fontId="6" fillId="0" borderId="12" xfId="0" applyFont="1" applyBorder="1" applyAlignment="1">
      <alignment horizontal="center" vertical="center"/>
    </xf>
    <xf numFmtId="0" fontId="99" fillId="0" borderId="0" xfId="0" applyFont="1" applyAlignment="1">
      <alignment horizontal="center" vertical="center"/>
    </xf>
    <xf numFmtId="0" fontId="0" fillId="0" borderId="0" xfId="0" applyAlignment="1">
      <alignment horizontal="center"/>
    </xf>
    <xf numFmtId="0" fontId="6" fillId="2" borderId="4" xfId="0" applyFont="1" applyFill="1" applyBorder="1" applyAlignment="1">
      <alignment horizontal="center" vertical="center" wrapText="1"/>
    </xf>
    <xf numFmtId="0" fontId="74" fillId="49" borderId="45" xfId="0" applyFont="1" applyFill="1" applyBorder="1" applyAlignment="1">
      <alignment horizontal="center" vertical="center"/>
    </xf>
    <xf numFmtId="0" fontId="76" fillId="48" borderId="8" xfId="0" applyFont="1" applyFill="1" applyBorder="1" applyAlignment="1">
      <alignment horizontal="center"/>
    </xf>
    <xf numFmtId="4" fontId="10" fillId="6" borderId="4" xfId="0" applyNumberFormat="1" applyFont="1" applyFill="1" applyBorder="1" applyAlignment="1">
      <alignment horizontal="center" vertical="center"/>
    </xf>
    <xf numFmtId="164" fontId="74" fillId="49" borderId="45" xfId="0" applyNumberFormat="1" applyFont="1" applyFill="1" applyBorder="1" applyAlignment="1">
      <alignment horizontal="center" vertical="center" wrapText="1"/>
    </xf>
    <xf numFmtId="0" fontId="10" fillId="6" borderId="17" xfId="0" applyFont="1" applyFill="1" applyBorder="1" applyAlignment="1">
      <alignment horizontal="center" vertical="center" wrapText="1"/>
    </xf>
    <xf numFmtId="4" fontId="10" fillId="6" borderId="0" xfId="0" applyNumberFormat="1" applyFont="1" applyFill="1" applyAlignment="1">
      <alignment horizontal="center" vertical="center"/>
    </xf>
    <xf numFmtId="0" fontId="0" fillId="0" borderId="4" xfId="0" applyBorder="1" applyAlignment="1">
      <alignment horizontal="center" wrapText="1"/>
    </xf>
    <xf numFmtId="0" fontId="123" fillId="0" borderId="4" xfId="0" applyFont="1" applyBorder="1" applyAlignment="1">
      <alignment horizontal="center" wrapText="1"/>
    </xf>
    <xf numFmtId="0" fontId="74" fillId="49" borderId="46" xfId="0" applyFont="1" applyFill="1" applyBorder="1" applyAlignment="1">
      <alignment horizontal="center" vertical="center"/>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74" fillId="49" borderId="10" xfId="0" applyFont="1" applyFill="1" applyBorder="1" applyAlignment="1">
      <alignment horizontal="center" vertical="center"/>
    </xf>
    <xf numFmtId="0" fontId="115" fillId="57" borderId="4" xfId="0" applyFont="1" applyFill="1" applyBorder="1" applyAlignment="1">
      <alignment horizontal="center"/>
    </xf>
    <xf numFmtId="164" fontId="74" fillId="49" borderId="40"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74" fillId="49" borderId="0" xfId="0" applyFont="1" applyFill="1" applyAlignment="1">
      <alignment horizontal="center" vertical="center"/>
    </xf>
    <xf numFmtId="164" fontId="74" fillId="49" borderId="38" xfId="0" applyNumberFormat="1" applyFont="1" applyFill="1" applyBorder="1" applyAlignment="1">
      <alignment horizontal="center" vertical="center" wrapText="1"/>
    </xf>
    <xf numFmtId="164" fontId="74" fillId="55" borderId="0" xfId="0" applyNumberFormat="1" applyFont="1" applyFill="1" applyAlignment="1">
      <alignment horizontal="center" vertical="center" wrapText="1"/>
    </xf>
    <xf numFmtId="0" fontId="143" fillId="0" borderId="4" xfId="0" applyFont="1" applyBorder="1" applyAlignment="1">
      <alignment horizontal="center" vertical="center" wrapText="1"/>
    </xf>
    <xf numFmtId="0" fontId="45" fillId="0" borderId="4" xfId="0" applyFont="1" applyBorder="1" applyAlignment="1">
      <alignment horizontal="center" vertical="center" wrapText="1"/>
    </xf>
    <xf numFmtId="0" fontId="0" fillId="0" borderId="0" xfId="0" applyAlignment="1">
      <alignment vertical="center"/>
    </xf>
    <xf numFmtId="0" fontId="80" fillId="0" borderId="4" xfId="0" applyFont="1" applyBorder="1" applyAlignment="1">
      <alignment horizontal="center" wrapText="1"/>
    </xf>
    <xf numFmtId="4" fontId="0" fillId="0" borderId="9" xfId="0" applyNumberFormat="1" applyBorder="1" applyAlignment="1">
      <alignment vertical="center"/>
    </xf>
    <xf numFmtId="0" fontId="9" fillId="0" borderId="4" xfId="0" applyFont="1" applyBorder="1" applyAlignment="1">
      <alignment horizontal="center" vertical="center" wrapText="1"/>
    </xf>
    <xf numFmtId="176" fontId="0" fillId="0" borderId="0" xfId="0" applyNumberFormat="1" applyAlignment="1">
      <alignment vertical="center"/>
    </xf>
    <xf numFmtId="4" fontId="6" fillId="2" borderId="4" xfId="0" applyNumberFormat="1" applyFont="1" applyFill="1" applyBorder="1" applyAlignment="1">
      <alignment vertical="center" wrapText="1"/>
    </xf>
    <xf numFmtId="4" fontId="111" fillId="0" borderId="0" xfId="0" applyNumberFormat="1" applyFont="1" applyAlignment="1">
      <alignment vertical="center"/>
    </xf>
    <xf numFmtId="0" fontId="12" fillId="2" borderId="0" xfId="0" applyFont="1" applyFill="1" applyAlignment="1">
      <alignment horizontal="center" vertical="center" wrapText="1"/>
    </xf>
    <xf numFmtId="4" fontId="10" fillId="2" borderId="0" xfId="1" applyNumberFormat="1" applyFont="1" applyFill="1" applyAlignment="1">
      <alignment horizontal="center" vertical="center" wrapText="1"/>
    </xf>
    <xf numFmtId="4" fontId="56" fillId="2" borderId="0" xfId="1" applyNumberFormat="1" applyFont="1" applyFill="1" applyAlignment="1">
      <alignment horizontal="center" vertical="center" wrapText="1"/>
    </xf>
    <xf numFmtId="4" fontId="44" fillId="2" borderId="0" xfId="1" applyNumberFormat="1" applyFont="1" applyFill="1" applyAlignment="1">
      <alignment horizontal="center" vertical="center" wrapText="1"/>
    </xf>
    <xf numFmtId="4" fontId="106" fillId="2" borderId="4" xfId="1" applyNumberFormat="1" applyFont="1" applyFill="1" applyBorder="1" applyAlignment="1">
      <alignment horizontal="center" vertical="center" wrapText="1"/>
    </xf>
    <xf numFmtId="4" fontId="0" fillId="2" borderId="0" xfId="0" applyNumberFormat="1" applyFill="1" applyAlignment="1">
      <alignment vertical="center"/>
    </xf>
    <xf numFmtId="174" fontId="130" fillId="0" borderId="4" xfId="1" applyNumberFormat="1" applyFont="1" applyBorder="1" applyAlignment="1">
      <alignment horizontal="right" vertical="center"/>
    </xf>
    <xf numFmtId="0" fontId="7" fillId="2" borderId="8" xfId="0" applyFont="1" applyFill="1" applyBorder="1" applyAlignment="1">
      <alignment vertical="center" wrapText="1"/>
    </xf>
    <xf numFmtId="0" fontId="7" fillId="0" borderId="10" xfId="0" applyFont="1" applyBorder="1" applyAlignment="1">
      <alignment horizontal="center" vertical="center" wrapText="1"/>
    </xf>
    <xf numFmtId="0" fontId="53" fillId="2" borderId="4" xfId="0" applyFont="1" applyFill="1" applyBorder="1" applyAlignment="1">
      <alignment vertical="center" wrapText="1"/>
    </xf>
    <xf numFmtId="0" fontId="54" fillId="2" borderId="4" xfId="0" applyFont="1" applyFill="1" applyBorder="1" applyAlignment="1">
      <alignment vertical="center" wrapText="1"/>
    </xf>
    <xf numFmtId="0" fontId="12" fillId="0" borderId="43" xfId="0" applyFont="1" applyBorder="1" applyAlignment="1">
      <alignment horizontal="center" vertical="center" wrapText="1"/>
    </xf>
    <xf numFmtId="4" fontId="145" fillId="0" borderId="4" xfId="1" applyNumberFormat="1" applyFont="1" applyBorder="1" applyAlignment="1">
      <alignment horizontal="center" vertical="center" wrapText="1"/>
    </xf>
    <xf numFmtId="4" fontId="20" fillId="2" borderId="9" xfId="0" applyNumberFormat="1" applyFont="1" applyFill="1" applyBorder="1" applyAlignment="1">
      <alignment horizontal="right" vertical="center"/>
    </xf>
    <xf numFmtId="0" fontId="12" fillId="0" borderId="47" xfId="0" applyFont="1" applyBorder="1" applyAlignment="1">
      <alignment horizontal="center" vertical="center" wrapText="1"/>
    </xf>
    <xf numFmtId="4" fontId="81" fillId="2" borderId="43" xfId="6" applyNumberFormat="1" applyFont="1" applyFill="1" applyBorder="1" applyAlignment="1">
      <alignment horizontal="right" vertical="center" wrapText="1"/>
    </xf>
    <xf numFmtId="0" fontId="131" fillId="2" borderId="17" xfId="0" applyFont="1" applyFill="1" applyBorder="1" applyAlignment="1">
      <alignment vertical="center" wrapText="1"/>
    </xf>
    <xf numFmtId="0" fontId="6" fillId="0" borderId="11" xfId="0" applyFont="1" applyBorder="1" applyAlignment="1">
      <alignment horizontal="center" vertical="center"/>
    </xf>
    <xf numFmtId="14" fontId="107" fillId="52" borderId="8" xfId="0" applyNumberFormat="1" applyFont="1" applyFill="1" applyBorder="1" applyAlignment="1">
      <alignment horizontal="center" vertical="center" wrapText="1"/>
    </xf>
    <xf numFmtId="0" fontId="88" fillId="0" borderId="0" xfId="0" applyFont="1" applyAlignment="1">
      <alignment horizontal="center" vertical="center" wrapText="1"/>
    </xf>
    <xf numFmtId="178" fontId="0" fillId="0" borderId="0" xfId="0" applyNumberFormat="1"/>
    <xf numFmtId="4" fontId="106" fillId="62" borderId="4" xfId="1" applyNumberFormat="1" applyFont="1" applyFill="1" applyBorder="1" applyAlignment="1">
      <alignment horizontal="center" vertical="center" wrapText="1"/>
    </xf>
    <xf numFmtId="0" fontId="7" fillId="53" borderId="4" xfId="0" applyFont="1" applyFill="1" applyBorder="1" applyAlignment="1">
      <alignment horizontal="center" vertical="center"/>
    </xf>
    <xf numFmtId="0" fontId="0" fillId="0" borderId="10" xfId="0" applyBorder="1" applyAlignment="1">
      <alignment horizontal="center"/>
    </xf>
    <xf numFmtId="4" fontId="131" fillId="0" borderId="10" xfId="0" applyNumberFormat="1" applyFont="1" applyBorder="1" applyAlignment="1">
      <alignment vertical="center"/>
    </xf>
    <xf numFmtId="4" fontId="56" fillId="0" borderId="18" xfId="1" applyNumberFormat="1" applyFont="1" applyBorder="1" applyAlignment="1">
      <alignment horizontal="center" vertical="center" wrapText="1"/>
    </xf>
    <xf numFmtId="165" fontId="7" fillId="2" borderId="10" xfId="0" applyNumberFormat="1" applyFont="1" applyFill="1" applyBorder="1" applyAlignment="1">
      <alignment vertical="center"/>
    </xf>
    <xf numFmtId="4" fontId="7" fillId="0" borderId="10" xfId="3" applyNumberFormat="1" applyFont="1" applyBorder="1" applyAlignment="1">
      <alignment horizontal="right" vertical="center"/>
    </xf>
    <xf numFmtId="14" fontId="7" fillId="2" borderId="8" xfId="0" applyNumberFormat="1" applyFont="1" applyFill="1" applyBorder="1" applyAlignment="1">
      <alignment horizontal="center" vertical="center" wrapText="1"/>
    </xf>
    <xf numFmtId="0" fontId="20" fillId="2" borderId="9" xfId="0" applyFont="1" applyFill="1" applyBorder="1" applyAlignment="1">
      <alignment horizontal="right" vertical="center"/>
    </xf>
    <xf numFmtId="0" fontId="7" fillId="2" borderId="48" xfId="0" quotePrefix="1" applyFont="1" applyFill="1" applyBorder="1" applyAlignment="1">
      <alignment horizontal="center" vertical="center"/>
    </xf>
    <xf numFmtId="14" fontId="7" fillId="2" borderId="49" xfId="0" applyNumberFormat="1" applyFont="1" applyFill="1" applyBorder="1" applyAlignment="1">
      <alignment horizontal="center" vertical="center" wrapText="1"/>
    </xf>
    <xf numFmtId="0" fontId="6" fillId="2" borderId="49" xfId="0" applyFont="1" applyFill="1" applyBorder="1" applyAlignment="1">
      <alignment vertical="center" wrapText="1"/>
    </xf>
    <xf numFmtId="165" fontId="7" fillId="2" borderId="49" xfId="0" applyNumberFormat="1" applyFont="1" applyFill="1" applyBorder="1" applyAlignment="1">
      <alignment vertical="center"/>
    </xf>
    <xf numFmtId="0" fontId="12" fillId="0" borderId="49" xfId="0" applyFont="1" applyBorder="1" applyAlignment="1">
      <alignment horizontal="center" vertical="center" wrapText="1"/>
    </xf>
    <xf numFmtId="4" fontId="7" fillId="2" borderId="50" xfId="0" applyNumberFormat="1" applyFont="1" applyFill="1" applyBorder="1" applyAlignment="1">
      <alignment horizontal="right" vertical="center"/>
    </xf>
    <xf numFmtId="4" fontId="7" fillId="2" borderId="51" xfId="0" applyNumberFormat="1" applyFont="1" applyFill="1" applyBorder="1" applyAlignment="1">
      <alignment vertical="center"/>
    </xf>
    <xf numFmtId="4" fontId="7" fillId="2" borderId="49" xfId="0" applyNumberFormat="1" applyFont="1" applyFill="1" applyBorder="1" applyAlignment="1">
      <alignment horizontal="right" vertical="center"/>
    </xf>
    <xf numFmtId="4" fontId="7" fillId="0" borderId="52" xfId="3" applyNumberFormat="1" applyFont="1" applyBorder="1" applyAlignment="1">
      <alignment horizontal="right" vertical="center"/>
    </xf>
    <xf numFmtId="0" fontId="7" fillId="2" borderId="53" xfId="0" applyFont="1" applyFill="1" applyBorder="1" applyAlignment="1">
      <alignment horizontal="center" vertical="center"/>
    </xf>
    <xf numFmtId="4" fontId="7" fillId="0" borderId="54" xfId="3" applyNumberFormat="1" applyFont="1" applyBorder="1" applyAlignment="1">
      <alignment horizontal="right" vertical="center"/>
    </xf>
    <xf numFmtId="0" fontId="77" fillId="2" borderId="53" xfId="0" applyFont="1" applyFill="1" applyBorder="1" applyAlignment="1">
      <alignment horizontal="center" vertical="center"/>
    </xf>
    <xf numFmtId="0" fontId="7" fillId="2" borderId="55" xfId="0" applyFont="1" applyFill="1" applyBorder="1" applyAlignment="1">
      <alignment horizontal="center" vertical="center"/>
    </xf>
    <xf numFmtId="14" fontId="7" fillId="53" borderId="56" xfId="0" applyNumberFormat="1" applyFont="1" applyFill="1" applyBorder="1" applyAlignment="1">
      <alignment horizontal="center" vertical="center" wrapText="1"/>
    </xf>
    <xf numFmtId="0" fontId="6" fillId="2" borderId="56" xfId="0" applyFont="1" applyFill="1" applyBorder="1" applyAlignment="1">
      <alignment vertical="center" wrapText="1"/>
    </xf>
    <xf numFmtId="4" fontId="7" fillId="2" borderId="56" xfId="0" applyNumberFormat="1" applyFont="1" applyFill="1" applyBorder="1" applyAlignment="1">
      <alignment horizontal="right" vertical="center"/>
    </xf>
    <xf numFmtId="4" fontId="7" fillId="2" borderId="56" xfId="0" applyNumberFormat="1" applyFont="1" applyFill="1" applyBorder="1" applyAlignment="1">
      <alignment vertical="center"/>
    </xf>
    <xf numFmtId="4" fontId="7" fillId="0" borderId="57" xfId="3" applyNumberFormat="1" applyFont="1" applyBorder="1" applyAlignment="1">
      <alignment horizontal="right" vertical="center"/>
    </xf>
    <xf numFmtId="0" fontId="147" fillId="0" borderId="4" xfId="0" applyFont="1" applyBorder="1" applyAlignment="1">
      <alignment horizontal="center" wrapText="1"/>
    </xf>
    <xf numFmtId="4" fontId="0" fillId="0" borderId="5" xfId="0" applyNumberFormat="1" applyBorder="1" applyAlignment="1">
      <alignment vertical="center"/>
    </xf>
    <xf numFmtId="0" fontId="78" fillId="0" borderId="4" xfId="0" applyFont="1" applyBorder="1" applyAlignment="1">
      <alignment horizontal="center" wrapText="1"/>
    </xf>
    <xf numFmtId="4" fontId="7" fillId="51" borderId="5" xfId="0" applyNumberFormat="1" applyFont="1" applyFill="1" applyBorder="1" applyAlignment="1">
      <alignment vertical="center"/>
    </xf>
    <xf numFmtId="179" fontId="2" fillId="2" borderId="4" xfId="0" quotePrefix="1" applyNumberFormat="1" applyFont="1" applyFill="1" applyBorder="1" applyAlignment="1">
      <alignment horizontal="left" vertical="center" wrapText="1"/>
    </xf>
    <xf numFmtId="179" fontId="2" fillId="2" borderId="4" xfId="0" quotePrefix="1" applyNumberFormat="1" applyFont="1" applyFill="1" applyBorder="1" applyAlignment="1">
      <alignment horizontal="center" vertical="center" wrapText="1"/>
    </xf>
    <xf numFmtId="4" fontId="75" fillId="0" borderId="4" xfId="1" applyNumberFormat="1" applyFont="1" applyBorder="1" applyAlignment="1">
      <alignment horizontal="center" vertical="center" wrapText="1"/>
    </xf>
    <xf numFmtId="43" fontId="0" fillId="0" borderId="0" xfId="0" applyNumberFormat="1" applyAlignment="1">
      <alignment vertical="center"/>
    </xf>
    <xf numFmtId="0" fontId="77" fillId="0" borderId="4" xfId="0" applyFont="1" applyBorder="1" applyAlignment="1">
      <alignment horizontal="center" vertical="center" wrapText="1"/>
    </xf>
    <xf numFmtId="0" fontId="98" fillId="0" borderId="4" xfId="0" applyFont="1" applyBorder="1" applyAlignment="1">
      <alignment horizontal="center" vertical="center" wrapText="1"/>
    </xf>
    <xf numFmtId="14" fontId="7" fillId="2" borderId="56" xfId="0" applyNumberFormat="1" applyFont="1" applyFill="1" applyBorder="1" applyAlignment="1">
      <alignment horizontal="center" vertical="center" wrapText="1"/>
    </xf>
    <xf numFmtId="4" fontId="106" fillId="2" borderId="0" xfId="1" applyNumberFormat="1" applyFont="1" applyFill="1" applyAlignment="1">
      <alignment horizontal="center" vertical="center" wrapText="1"/>
    </xf>
    <xf numFmtId="0" fontId="0" fillId="57" borderId="0" xfId="0" applyFill="1"/>
    <xf numFmtId="0" fontId="6" fillId="57" borderId="4" xfId="0" applyFont="1" applyFill="1" applyBorder="1" applyAlignment="1">
      <alignment horizontal="center" vertical="center" wrapText="1"/>
    </xf>
    <xf numFmtId="0" fontId="6" fillId="53" borderId="56" xfId="0" applyFont="1" applyFill="1" applyBorder="1" applyAlignment="1">
      <alignment vertical="center" wrapText="1"/>
    </xf>
    <xf numFmtId="4" fontId="149" fillId="2" borderId="10" xfId="0" applyNumberFormat="1" applyFont="1" applyFill="1" applyBorder="1" applyAlignment="1">
      <alignment vertical="center" wrapText="1"/>
    </xf>
    <xf numFmtId="0" fontId="6" fillId="63" borderId="4" xfId="0" applyFont="1" applyFill="1" applyBorder="1" applyAlignment="1">
      <alignment vertical="center" wrapText="1"/>
    </xf>
    <xf numFmtId="0" fontId="0" fillId="63" borderId="4" xfId="0" applyFill="1" applyBorder="1"/>
    <xf numFmtId="0" fontId="6" fillId="63" borderId="4" xfId="0" applyFont="1" applyFill="1" applyBorder="1" applyAlignment="1">
      <alignment horizontal="center" vertical="center" wrapText="1"/>
    </xf>
    <xf numFmtId="0" fontId="7" fillId="63" borderId="4" xfId="0" quotePrefix="1" applyFont="1" applyFill="1" applyBorder="1" applyAlignment="1">
      <alignment horizontal="center" vertical="center"/>
    </xf>
    <xf numFmtId="4" fontId="85" fillId="2" borderId="4" xfId="0" applyNumberFormat="1" applyFont="1" applyFill="1" applyBorder="1" applyAlignment="1">
      <alignment vertical="center"/>
    </xf>
    <xf numFmtId="180" fontId="106" fillId="0" borderId="4" xfId="1" applyNumberFormat="1" applyFont="1" applyBorder="1" applyAlignment="1">
      <alignment horizontal="center" vertical="center" wrapText="1"/>
    </xf>
    <xf numFmtId="178" fontId="0" fillId="0" borderId="4" xfId="0" applyNumberFormat="1" applyBorder="1"/>
    <xf numFmtId="0" fontId="102" fillId="0" borderId="4" xfId="0" applyFont="1" applyBorder="1"/>
    <xf numFmtId="177" fontId="0" fillId="0" borderId="4" xfId="0" applyNumberFormat="1" applyBorder="1" applyAlignment="1">
      <alignment vertical="center"/>
    </xf>
    <xf numFmtId="0" fontId="0" fillId="0" borderId="4" xfId="0" applyBorder="1" applyAlignment="1">
      <alignment vertical="center"/>
    </xf>
    <xf numFmtId="0" fontId="0" fillId="0" borderId="4" xfId="0" applyBorder="1"/>
    <xf numFmtId="0" fontId="0" fillId="2" borderId="4" xfId="0" applyFill="1" applyBorder="1"/>
    <xf numFmtId="0" fontId="150" fillId="64" borderId="0" xfId="0" applyFont="1" applyFill="1" applyAlignment="1">
      <alignment horizontal="center" vertical="center"/>
    </xf>
    <xf numFmtId="0" fontId="112" fillId="0" borderId="4" xfId="0" applyFont="1" applyBorder="1" applyAlignment="1">
      <alignment horizontal="center" vertical="center" wrapText="1"/>
    </xf>
    <xf numFmtId="0" fontId="141" fillId="57" borderId="0" xfId="0" applyFont="1" applyFill="1"/>
    <xf numFmtId="0" fontId="25" fillId="0" borderId="0" xfId="0" applyFont="1" applyAlignment="1">
      <alignment horizontal="center"/>
    </xf>
    <xf numFmtId="0" fontId="149" fillId="0" borderId="4" xfId="0" applyFont="1" applyBorder="1" applyAlignment="1">
      <alignment wrapText="1"/>
    </xf>
    <xf numFmtId="0" fontId="75" fillId="0" borderId="10" xfId="0" applyFont="1" applyBorder="1" applyAlignment="1">
      <alignment horizontal="center" vertical="center" wrapText="1"/>
    </xf>
    <xf numFmtId="0" fontId="75" fillId="0" borderId="17" xfId="0" applyFont="1" applyBorder="1" applyAlignment="1">
      <alignment horizontal="justify" vertical="center" wrapText="1" readingOrder="1"/>
    </xf>
    <xf numFmtId="14" fontId="75" fillId="2" borderId="4" xfId="0" applyNumberFormat="1" applyFont="1" applyFill="1" applyBorder="1" applyAlignment="1">
      <alignment horizontal="center" vertical="center" wrapText="1"/>
    </xf>
    <xf numFmtId="0" fontId="153" fillId="0" borderId="4" xfId="6" applyFont="1" applyBorder="1" applyAlignment="1">
      <alignment horizontal="left" vertical="center" wrapText="1"/>
    </xf>
    <xf numFmtId="0" fontId="137" fillId="53" borderId="43" xfId="0" applyFont="1" applyFill="1" applyBorder="1" applyAlignment="1">
      <alignment vertical="center" wrapText="1"/>
    </xf>
    <xf numFmtId="0" fontId="75" fillId="2" borderId="4" xfId="0" applyFont="1" applyFill="1" applyBorder="1" applyAlignment="1">
      <alignment horizontal="justify" vertical="center" wrapText="1"/>
    </xf>
    <xf numFmtId="0" fontId="75" fillId="0" borderId="4" xfId="0" applyFont="1" applyBorder="1" applyAlignment="1">
      <alignment horizontal="justify" vertical="center" wrapText="1"/>
    </xf>
    <xf numFmtId="0" fontId="75" fillId="53" borderId="4" xfId="0" applyFont="1" applyFill="1" applyBorder="1" applyAlignment="1">
      <alignment horizontal="center" vertical="center" wrapText="1"/>
    </xf>
    <xf numFmtId="0" fontId="45" fillId="0" borderId="8" xfId="0" applyFont="1" applyBorder="1" applyAlignment="1">
      <alignment horizontal="center" vertical="center"/>
    </xf>
    <xf numFmtId="0" fontId="45" fillId="2" borderId="8" xfId="0" applyFont="1" applyFill="1" applyBorder="1" applyAlignment="1">
      <alignment horizontal="center" vertical="center"/>
    </xf>
    <xf numFmtId="0" fontId="3" fillId="0" borderId="4" xfId="0" applyFont="1" applyBorder="1"/>
    <xf numFmtId="0" fontId="151" fillId="0" borderId="4" xfId="0" applyFont="1" applyBorder="1" applyAlignment="1">
      <alignment horizontal="center" wrapText="1"/>
    </xf>
    <xf numFmtId="0" fontId="3" fillId="0" borderId="10" xfId="0" applyFont="1" applyBorder="1"/>
    <xf numFmtId="4" fontId="3" fillId="0" borderId="10" xfId="0" applyNumberFormat="1" applyFont="1" applyBorder="1"/>
    <xf numFmtId="4" fontId="3" fillId="0" borderId="10" xfId="0" applyNumberFormat="1" applyFont="1" applyBorder="1" applyAlignment="1">
      <alignment vertical="center"/>
    </xf>
    <xf numFmtId="0" fontId="78" fillId="53" borderId="4" xfId="0" applyFont="1" applyFill="1" applyBorder="1" applyAlignment="1">
      <alignment horizontal="center" wrapText="1"/>
    </xf>
    <xf numFmtId="4" fontId="106" fillId="53" borderId="10" xfId="1" applyNumberFormat="1" applyFont="1" applyFill="1" applyBorder="1" applyAlignment="1">
      <alignment horizontal="center" vertical="center" wrapText="1"/>
    </xf>
    <xf numFmtId="0" fontId="12" fillId="53" borderId="4" xfId="0" applyFont="1" applyFill="1" applyBorder="1" applyAlignment="1">
      <alignment horizontal="center" vertical="center" wrapText="1"/>
    </xf>
    <xf numFmtId="0" fontId="0" fillId="53" borderId="10" xfId="0" applyFill="1" applyBorder="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76" fillId="48" borderId="36" xfId="0" applyFont="1" applyFill="1" applyBorder="1" applyAlignment="1">
      <alignment horizontal="center"/>
    </xf>
    <xf numFmtId="0" fontId="89" fillId="48" borderId="0" xfId="0" applyFont="1" applyFill="1" applyAlignment="1">
      <alignment horizontal="center"/>
    </xf>
    <xf numFmtId="0" fontId="76" fillId="48" borderId="4" xfId="0" applyFont="1" applyFill="1" applyBorder="1" applyAlignment="1">
      <alignment horizontal="center"/>
    </xf>
    <xf numFmtId="4" fontId="7" fillId="65" borderId="4" xfId="0" applyNumberFormat="1" applyFont="1" applyFill="1" applyBorder="1" applyAlignment="1">
      <alignment horizontal="right" vertical="center"/>
    </xf>
    <xf numFmtId="4" fontId="7" fillId="66" borderId="10" xfId="0" applyNumberFormat="1" applyFont="1" applyFill="1" applyBorder="1" applyAlignment="1">
      <alignment horizontal="right" vertical="center"/>
    </xf>
    <xf numFmtId="4" fontId="7" fillId="66" borderId="4" xfId="0" applyNumberFormat="1" applyFont="1" applyFill="1" applyBorder="1" applyAlignment="1">
      <alignment horizontal="right" vertical="center"/>
    </xf>
    <xf numFmtId="4" fontId="18" fillId="67" borderId="4" xfId="0" applyNumberFormat="1" applyFont="1" applyFill="1" applyBorder="1" applyAlignment="1">
      <alignment horizontal="right" vertical="center"/>
    </xf>
    <xf numFmtId="4" fontId="18" fillId="66" borderId="4" xfId="0" applyNumberFormat="1" applyFont="1" applyFill="1" applyBorder="1" applyAlignment="1">
      <alignment horizontal="right" vertical="center"/>
    </xf>
    <xf numFmtId="4" fontId="154" fillId="66" borderId="4" xfId="0" applyNumberFormat="1" applyFont="1" applyFill="1" applyBorder="1" applyAlignment="1">
      <alignment horizontal="right" vertical="center"/>
    </xf>
    <xf numFmtId="4" fontId="85" fillId="0" borderId="0" xfId="0" applyNumberFormat="1" applyFont="1"/>
    <xf numFmtId="4" fontId="18" fillId="65" borderId="4" xfId="0" applyNumberFormat="1" applyFont="1" applyFill="1" applyBorder="1" applyAlignment="1">
      <alignment horizontal="right" vertical="center"/>
    </xf>
    <xf numFmtId="4" fontId="18" fillId="68" borderId="4" xfId="0" applyNumberFormat="1" applyFont="1" applyFill="1" applyBorder="1" applyAlignment="1">
      <alignment horizontal="right" vertical="center"/>
    </xf>
    <xf numFmtId="4" fontId="130" fillId="68" borderId="4" xfId="0" applyNumberFormat="1" applyFont="1" applyFill="1" applyBorder="1" applyAlignment="1">
      <alignment horizontal="right" vertical="center"/>
    </xf>
    <xf numFmtId="4" fontId="18" fillId="69" borderId="4" xfId="0" applyNumberFormat="1" applyFont="1" applyFill="1" applyBorder="1" applyAlignment="1">
      <alignment horizontal="right" vertical="center"/>
    </xf>
    <xf numFmtId="4" fontId="7" fillId="66" borderId="10" xfId="0" applyNumberFormat="1" applyFont="1" applyFill="1" applyBorder="1" applyAlignment="1">
      <alignment vertical="center"/>
    </xf>
    <xf numFmtId="4" fontId="106" fillId="0" borderId="17" xfId="1" applyNumberFormat="1" applyFont="1" applyBorder="1" applyAlignment="1">
      <alignment horizontal="center" vertical="center" wrapText="1"/>
    </xf>
    <xf numFmtId="4" fontId="155" fillId="0" borderId="0" xfId="1" applyNumberFormat="1" applyFont="1" applyAlignment="1">
      <alignment horizontal="center" vertical="center" wrapText="1"/>
    </xf>
    <xf numFmtId="0" fontId="12" fillId="0" borderId="15" xfId="0" applyFont="1" applyBorder="1" applyAlignment="1">
      <alignment horizontal="center" vertical="center" wrapText="1"/>
    </xf>
    <xf numFmtId="4" fontId="156" fillId="0" borderId="0" xfId="0" applyNumberFormat="1" applyFont="1"/>
    <xf numFmtId="4" fontId="20" fillId="65" borderId="10" xfId="0" applyNumberFormat="1" applyFont="1" applyFill="1" applyBorder="1" applyAlignment="1">
      <alignment horizontal="right" vertical="center"/>
    </xf>
    <xf numFmtId="4" fontId="7" fillId="65" borderId="10" xfId="0" applyNumberFormat="1" applyFont="1" applyFill="1" applyBorder="1" applyAlignment="1">
      <alignment horizontal="right" vertical="center"/>
    </xf>
    <xf numFmtId="4" fontId="7" fillId="68" borderId="10" xfId="0" applyNumberFormat="1" applyFont="1" applyFill="1" applyBorder="1" applyAlignment="1">
      <alignment horizontal="right" vertical="center"/>
    </xf>
    <xf numFmtId="4" fontId="7" fillId="67" borderId="10" xfId="0" applyNumberFormat="1" applyFont="1" applyFill="1" applyBorder="1" applyAlignment="1">
      <alignment horizontal="right" vertical="center"/>
    </xf>
    <xf numFmtId="4" fontId="20" fillId="67" borderId="10" xfId="0" applyNumberFormat="1" applyFont="1" applyFill="1" applyBorder="1" applyAlignment="1">
      <alignment horizontal="right" vertical="center"/>
    </xf>
    <xf numFmtId="4" fontId="7" fillId="67" borderId="4" xfId="0" applyNumberFormat="1" applyFont="1" applyFill="1" applyBorder="1" applyAlignment="1">
      <alignment horizontal="right" vertical="center"/>
    </xf>
    <xf numFmtId="4" fontId="85" fillId="0" borderId="0" xfId="0" applyNumberFormat="1" applyFont="1" applyAlignment="1">
      <alignment vertical="center"/>
    </xf>
    <xf numFmtId="4" fontId="7" fillId="68" borderId="4" xfId="0" applyNumberFormat="1" applyFont="1" applyFill="1" applyBorder="1" applyAlignment="1">
      <alignment horizontal="right" vertical="center"/>
    </xf>
    <xf numFmtId="4" fontId="20" fillId="66" borderId="4" xfId="0" applyNumberFormat="1" applyFont="1" applyFill="1" applyBorder="1" applyAlignment="1">
      <alignment horizontal="right" vertical="center"/>
    </xf>
    <xf numFmtId="4" fontId="20" fillId="66" borderId="10" xfId="0" applyNumberFormat="1" applyFont="1" applyFill="1" applyBorder="1" applyAlignment="1">
      <alignment horizontal="right" vertical="center"/>
    </xf>
    <xf numFmtId="4" fontId="20" fillId="68" borderId="10" xfId="0" applyNumberFormat="1" applyFont="1" applyFill="1" applyBorder="1" applyAlignment="1">
      <alignment horizontal="right" vertical="center"/>
    </xf>
    <xf numFmtId="4" fontId="81" fillId="2" borderId="10" xfId="0" applyNumberFormat="1" applyFont="1" applyFill="1" applyBorder="1" applyAlignment="1">
      <alignment horizontal="right" vertical="center"/>
    </xf>
    <xf numFmtId="4" fontId="78" fillId="0" borderId="0" xfId="0" applyNumberFormat="1" applyFont="1" applyAlignment="1">
      <alignment vertical="center"/>
    </xf>
    <xf numFmtId="4" fontId="20" fillId="68" borderId="4" xfId="0" applyNumberFormat="1" applyFont="1" applyFill="1" applyBorder="1" applyAlignment="1">
      <alignment horizontal="right" vertical="center"/>
    </xf>
    <xf numFmtId="4" fontId="7" fillId="67" borderId="10" xfId="0" applyNumberFormat="1" applyFont="1" applyFill="1" applyBorder="1" applyAlignment="1">
      <alignment horizontal="right" vertical="center" wrapText="1"/>
    </xf>
    <xf numFmtId="165" fontId="7" fillId="67" borderId="10" xfId="0" applyNumberFormat="1" applyFont="1" applyFill="1" applyBorder="1" applyAlignment="1">
      <alignment horizontal="right" vertical="center" wrapText="1"/>
    </xf>
    <xf numFmtId="4" fontId="7" fillId="68" borderId="10" xfId="0" applyNumberFormat="1" applyFont="1" applyFill="1" applyBorder="1" applyAlignment="1">
      <alignment horizontal="right" vertical="center" wrapText="1"/>
    </xf>
    <xf numFmtId="0" fontId="0" fillId="2" borderId="10" xfId="0" applyFill="1" applyBorder="1" applyAlignment="1">
      <alignment horizontal="center"/>
    </xf>
    <xf numFmtId="0" fontId="12" fillId="2" borderId="10" xfId="0" applyFont="1" applyFill="1" applyBorder="1" applyAlignment="1">
      <alignment horizontal="center" vertical="center" wrapText="1"/>
    </xf>
    <xf numFmtId="0" fontId="12" fillId="2" borderId="0" xfId="0" applyFont="1" applyFill="1" applyAlignment="1">
      <alignment horizontal="center" vertical="center"/>
    </xf>
    <xf numFmtId="0" fontId="25" fillId="2" borderId="0" xfId="0" applyFont="1" applyFill="1" applyAlignment="1">
      <alignment horizontal="center"/>
    </xf>
    <xf numFmtId="0" fontId="152" fillId="2" borderId="0" xfId="0" applyFont="1" applyFill="1" applyAlignment="1">
      <alignment horizontal="center" vertical="center" wrapText="1"/>
    </xf>
    <xf numFmtId="0" fontId="6" fillId="2" borderId="0" xfId="0" applyFont="1" applyFill="1" applyAlignment="1">
      <alignment horizontal="center"/>
    </xf>
    <xf numFmtId="0" fontId="75"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98" fillId="2" borderId="4"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6" fillId="2" borderId="6" xfId="0" applyFont="1" applyFill="1" applyBorder="1" applyAlignment="1">
      <alignment horizontal="center" vertical="center"/>
    </xf>
    <xf numFmtId="0" fontId="7" fillId="2" borderId="10" xfId="0" applyFont="1" applyFill="1" applyBorder="1" applyAlignment="1">
      <alignment horizontal="center" vertical="center" wrapText="1"/>
    </xf>
    <xf numFmtId="0" fontId="0" fillId="2" borderId="10" xfId="0" applyFill="1" applyBorder="1"/>
    <xf numFmtId="4" fontId="12" fillId="2" borderId="4" xfId="0" applyNumberFormat="1" applyFont="1" applyFill="1" applyBorder="1" applyAlignment="1">
      <alignment horizontal="center" vertical="center" wrapText="1"/>
    </xf>
    <xf numFmtId="0" fontId="6" fillId="2" borderId="6" xfId="0" applyFont="1" applyFill="1" applyBorder="1" applyAlignment="1">
      <alignment horizontal="justify" vertical="center"/>
    </xf>
    <xf numFmtId="0" fontId="75"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4" fontId="12" fillId="2" borderId="10" xfId="0" applyNumberFormat="1" applyFont="1" applyFill="1" applyBorder="1" applyAlignment="1">
      <alignment horizontal="center" vertical="center" wrapText="1"/>
    </xf>
    <xf numFmtId="165" fontId="12" fillId="2" borderId="10" xfId="0" applyNumberFormat="1" applyFont="1" applyFill="1" applyBorder="1" applyAlignment="1">
      <alignment horizontal="center" vertical="center" wrapText="1"/>
    </xf>
    <xf numFmtId="4" fontId="111" fillId="2" borderId="0" xfId="0" applyNumberFormat="1" applyFont="1" applyFill="1" applyAlignment="1">
      <alignment vertical="center"/>
    </xf>
    <xf numFmtId="0" fontId="12" fillId="2" borderId="50" xfId="0" applyFont="1" applyFill="1" applyBorder="1" applyAlignment="1">
      <alignment horizontal="center" vertical="center" wrapText="1"/>
    </xf>
    <xf numFmtId="0" fontId="146" fillId="2" borderId="0" xfId="0" applyFont="1" applyFill="1" applyAlignment="1">
      <alignment horizontal="left"/>
    </xf>
    <xf numFmtId="0" fontId="6" fillId="2" borderId="12" xfId="0" applyFont="1" applyFill="1" applyBorder="1" applyAlignment="1">
      <alignment horizontal="center" vertical="center"/>
    </xf>
    <xf numFmtId="4" fontId="10" fillId="2" borderId="41" xfId="1" applyNumberFormat="1" applyFont="1" applyFill="1" applyBorder="1" applyAlignment="1">
      <alignment horizontal="center" vertical="center" wrapText="1"/>
    </xf>
    <xf numFmtId="4" fontId="10" fillId="2" borderId="15" xfId="1" applyNumberFormat="1" applyFont="1" applyFill="1" applyBorder="1" applyAlignment="1">
      <alignment horizontal="center" vertical="center" wrapText="1"/>
    </xf>
    <xf numFmtId="4" fontId="75" fillId="2" borderId="0" xfId="1" applyNumberFormat="1" applyFont="1" applyFill="1" applyAlignment="1">
      <alignment horizontal="center" vertical="center" wrapText="1"/>
    </xf>
    <xf numFmtId="0" fontId="99" fillId="2" borderId="0" xfId="0" applyFont="1" applyFill="1" applyAlignment="1">
      <alignment horizontal="center" vertical="center"/>
    </xf>
    <xf numFmtId="0" fontId="6" fillId="2" borderId="0" xfId="0" applyFont="1" applyFill="1" applyAlignment="1">
      <alignment horizontal="center" vertical="center"/>
    </xf>
    <xf numFmtId="0" fontId="61" fillId="2" borderId="0" xfId="0" applyFont="1" applyFill="1" applyAlignment="1">
      <alignment horizontal="center" vertical="center"/>
    </xf>
    <xf numFmtId="0" fontId="61" fillId="2" borderId="4" xfId="0" applyFont="1" applyFill="1" applyBorder="1" applyAlignment="1">
      <alignment horizontal="center" vertical="center"/>
    </xf>
    <xf numFmtId="0" fontId="9" fillId="2" borderId="4" xfId="0" applyFont="1" applyFill="1" applyBorder="1" applyAlignment="1">
      <alignment horizontal="center" wrapText="1"/>
    </xf>
    <xf numFmtId="0" fontId="45" fillId="2" borderId="4" xfId="0" applyFont="1" applyFill="1" applyBorder="1" applyAlignment="1">
      <alignment horizontal="center" vertical="center" wrapText="1"/>
    </xf>
    <xf numFmtId="0" fontId="74" fillId="70" borderId="45" xfId="0" applyFont="1" applyFill="1" applyBorder="1" applyAlignment="1">
      <alignment horizontal="center" vertical="center"/>
    </xf>
    <xf numFmtId="0" fontId="76" fillId="2" borderId="8" xfId="0" applyFont="1" applyFill="1" applyBorder="1" applyAlignment="1">
      <alignment horizontal="center"/>
    </xf>
    <xf numFmtId="4" fontId="10" fillId="2" borderId="4" xfId="0" applyNumberFormat="1" applyFont="1" applyFill="1" applyBorder="1" applyAlignment="1">
      <alignment horizontal="center" vertical="center"/>
    </xf>
    <xf numFmtId="164" fontId="74" fillId="70" borderId="45" xfId="0" applyNumberFormat="1" applyFont="1" applyFill="1" applyBorder="1" applyAlignment="1">
      <alignment horizontal="center" vertical="center" wrapText="1"/>
    </xf>
    <xf numFmtId="0" fontId="114" fillId="2" borderId="0" xfId="0" applyFont="1" applyFill="1" applyAlignment="1">
      <alignment horizontal="center" vertical="center"/>
    </xf>
    <xf numFmtId="0" fontId="10" fillId="2" borderId="17" xfId="0" applyFont="1" applyFill="1" applyBorder="1" applyAlignment="1">
      <alignment horizontal="center" vertical="center" wrapText="1"/>
    </xf>
    <xf numFmtId="0" fontId="76" fillId="2" borderId="0" xfId="0" applyFont="1" applyFill="1" applyAlignment="1">
      <alignment horizontal="center"/>
    </xf>
    <xf numFmtId="4" fontId="10" fillId="2" borderId="0" xfId="0" applyNumberFormat="1" applyFont="1" applyFill="1" applyAlignment="1">
      <alignment horizontal="center" vertical="center"/>
    </xf>
    <xf numFmtId="0" fontId="0" fillId="2" borderId="4" xfId="0" applyFill="1" applyBorder="1" applyAlignment="1">
      <alignment horizontal="center" wrapText="1"/>
    </xf>
    <xf numFmtId="0" fontId="123" fillId="2" borderId="4" xfId="0" applyFont="1" applyFill="1" applyBorder="1" applyAlignment="1">
      <alignment horizontal="center" wrapText="1"/>
    </xf>
    <xf numFmtId="0" fontId="151" fillId="2" borderId="4" xfId="0" applyFont="1" applyFill="1" applyBorder="1" applyAlignment="1">
      <alignment horizontal="center" wrapText="1"/>
    </xf>
    <xf numFmtId="0" fontId="74" fillId="70" borderId="0" xfId="0" applyFont="1" applyFill="1" applyAlignment="1">
      <alignment horizontal="center" vertical="center"/>
    </xf>
    <xf numFmtId="0" fontId="76" fillId="2" borderId="4" xfId="0" applyFont="1" applyFill="1" applyBorder="1" applyAlignment="1">
      <alignment horizontal="center"/>
    </xf>
    <xf numFmtId="0" fontId="74" fillId="70" borderId="10" xfId="0" applyFont="1" applyFill="1" applyBorder="1" applyAlignment="1">
      <alignment horizontal="center" vertical="center"/>
    </xf>
    <xf numFmtId="0" fontId="70" fillId="2" borderId="0" xfId="0" applyFont="1" applyFill="1" applyAlignment="1">
      <alignment horizontal="center"/>
    </xf>
    <xf numFmtId="0" fontId="80" fillId="2" borderId="4" xfId="0" applyFont="1" applyFill="1" applyBorder="1" applyAlignment="1">
      <alignment horizontal="center" wrapText="1"/>
    </xf>
    <xf numFmtId="0" fontId="9" fillId="2" borderId="4" xfId="0" applyFont="1" applyFill="1" applyBorder="1" applyAlignment="1">
      <alignment horizontal="center" vertical="center" wrapText="1"/>
    </xf>
    <xf numFmtId="0" fontId="147" fillId="2" borderId="4" xfId="0" applyFont="1" applyFill="1" applyBorder="1" applyAlignment="1">
      <alignment horizontal="center" wrapText="1"/>
    </xf>
    <xf numFmtId="0" fontId="78" fillId="2" borderId="4" xfId="0" applyFont="1" applyFill="1" applyBorder="1" applyAlignment="1">
      <alignment horizontal="center" wrapText="1"/>
    </xf>
    <xf numFmtId="0" fontId="76" fillId="2" borderId="36" xfId="0" applyFont="1" applyFill="1" applyBorder="1" applyAlignment="1">
      <alignment horizontal="center"/>
    </xf>
    <xf numFmtId="0" fontId="74" fillId="70" borderId="46" xfId="0" applyFont="1" applyFill="1" applyBorder="1" applyAlignment="1">
      <alignment horizontal="center" vertical="center"/>
    </xf>
    <xf numFmtId="0" fontId="115" fillId="2" borderId="4" xfId="0" applyFont="1" applyFill="1" applyBorder="1" applyAlignment="1">
      <alignment horizontal="center"/>
    </xf>
    <xf numFmtId="164" fontId="74" fillId="70" borderId="40" xfId="0" applyNumberFormat="1" applyFont="1" applyFill="1" applyBorder="1" applyAlignment="1">
      <alignment horizontal="center" vertical="center" wrapText="1"/>
    </xf>
    <xf numFmtId="0" fontId="89" fillId="2" borderId="0" xfId="0" applyFont="1" applyFill="1" applyAlignment="1">
      <alignment horizontal="center"/>
    </xf>
    <xf numFmtId="164" fontId="74" fillId="70" borderId="38" xfId="0" applyNumberFormat="1" applyFont="1" applyFill="1" applyBorder="1" applyAlignment="1">
      <alignment horizontal="center" vertical="center" wrapText="1"/>
    </xf>
    <xf numFmtId="164" fontId="74" fillId="71" borderId="0" xfId="0" applyNumberFormat="1" applyFont="1" applyFill="1" applyAlignment="1">
      <alignment horizontal="center" vertical="center" wrapText="1"/>
    </xf>
    <xf numFmtId="0" fontId="12" fillId="0" borderId="6" xfId="0" applyFont="1" applyBorder="1" applyAlignment="1">
      <alignment horizontal="center" vertical="center" wrapText="1"/>
    </xf>
    <xf numFmtId="0" fontId="157"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4" fontId="0" fillId="68" borderId="0" xfId="0" applyNumberFormat="1" applyFill="1" applyAlignment="1">
      <alignment vertical="center"/>
    </xf>
    <xf numFmtId="0" fontId="7" fillId="65" borderId="4" xfId="0" applyFont="1" applyFill="1" applyBorder="1" applyAlignment="1">
      <alignment vertical="center" wrapText="1"/>
    </xf>
    <xf numFmtId="0" fontId="6" fillId="65" borderId="4" xfId="0" applyFont="1" applyFill="1" applyBorder="1" applyAlignment="1">
      <alignment vertical="center" wrapText="1"/>
    </xf>
    <xf numFmtId="0" fontId="82" fillId="2" borderId="4" xfId="0" applyFont="1" applyFill="1" applyBorder="1" applyAlignment="1">
      <alignment horizontal="center" vertical="center" wrapText="1"/>
    </xf>
    <xf numFmtId="0" fontId="61" fillId="61" borderId="4" xfId="0" applyFont="1" applyFill="1" applyBorder="1" applyAlignment="1">
      <alignment horizontal="center" vertical="center"/>
    </xf>
    <xf numFmtId="0" fontId="10" fillId="70" borderId="0" xfId="0" applyFont="1" applyFill="1" applyAlignment="1">
      <alignment horizontal="center" vertical="center" wrapText="1"/>
    </xf>
    <xf numFmtId="0" fontId="74" fillId="70" borderId="0" xfId="0" applyFont="1" applyFill="1" applyAlignment="1">
      <alignment vertical="center"/>
    </xf>
    <xf numFmtId="164" fontId="74" fillId="70" borderId="0" xfId="0" applyNumberFormat="1" applyFont="1" applyFill="1" applyAlignment="1">
      <alignment vertical="center" wrapText="1"/>
    </xf>
    <xf numFmtId="164" fontId="10" fillId="70" borderId="0" xfId="0" applyNumberFormat="1" applyFont="1" applyFill="1" applyAlignment="1">
      <alignment vertical="center" wrapText="1"/>
    </xf>
    <xf numFmtId="0" fontId="82" fillId="61" borderId="4" xfId="0" applyFont="1" applyFill="1" applyBorder="1" applyAlignment="1">
      <alignment horizontal="center" vertical="center" wrapText="1"/>
    </xf>
    <xf numFmtId="0" fontId="82" fillId="58" borderId="4" xfId="0" applyFont="1" applyFill="1" applyBorder="1" applyAlignment="1">
      <alignment horizontal="center" vertical="center" wrapText="1"/>
    </xf>
    <xf numFmtId="4" fontId="158" fillId="0" borderId="0" xfId="0" applyNumberFormat="1" applyFont="1" applyAlignment="1">
      <alignment vertical="center"/>
    </xf>
    <xf numFmtId="4" fontId="159" fillId="0" borderId="0" xfId="1" applyNumberFormat="1" applyFont="1" applyAlignment="1">
      <alignment horizontal="center" vertical="center" wrapText="1"/>
    </xf>
    <xf numFmtId="4" fontId="161" fillId="0" borderId="0" xfId="0" applyNumberFormat="1" applyFont="1" applyAlignment="1">
      <alignment vertical="center"/>
    </xf>
    <xf numFmtId="4" fontId="162" fillId="0" borderId="0" xfId="0" applyNumberFormat="1" applyFont="1"/>
    <xf numFmtId="4" fontId="163" fillId="0" borderId="0" xfId="1" applyNumberFormat="1" applyFont="1" applyAlignment="1">
      <alignment horizontal="center" vertical="center" wrapText="1"/>
    </xf>
    <xf numFmtId="4" fontId="160" fillId="0" borderId="0" xfId="1" applyNumberFormat="1" applyFont="1" applyAlignment="1">
      <alignment horizontal="center" vertical="center" wrapText="1"/>
    </xf>
    <xf numFmtId="4" fontId="161" fillId="2" borderId="0" xfId="0" applyNumberFormat="1" applyFont="1" applyFill="1"/>
    <xf numFmtId="4" fontId="9" fillId="0" borderId="0" xfId="0" applyNumberFormat="1" applyFont="1"/>
    <xf numFmtId="0" fontId="78" fillId="66" borderId="4" xfId="0" applyFont="1" applyFill="1" applyBorder="1" applyAlignment="1">
      <alignment horizontal="center" wrapText="1"/>
    </xf>
    <xf numFmtId="4" fontId="161" fillId="0" borderId="9" xfId="0" applyNumberFormat="1" applyFont="1" applyBorder="1" applyAlignment="1">
      <alignment vertical="center"/>
    </xf>
    <xf numFmtId="4" fontId="158" fillId="0" borderId="0" xfId="0" applyNumberFormat="1" applyFont="1"/>
    <xf numFmtId="0" fontId="3" fillId="0" borderId="0" xfId="0" applyFont="1" applyAlignment="1">
      <alignment vertical="center"/>
    </xf>
    <xf numFmtId="4" fontId="106" fillId="0" borderId="0" xfId="1" applyNumberFormat="1" applyFont="1" applyAlignment="1">
      <alignment horizontal="center" vertical="center" wrapText="1"/>
    </xf>
    <xf numFmtId="4" fontId="158" fillId="66" borderId="0" xfId="0" applyNumberFormat="1" applyFont="1" applyFill="1" applyAlignment="1">
      <alignment vertical="center"/>
    </xf>
    <xf numFmtId="0" fontId="24" fillId="66" borderId="4" xfId="0" applyFont="1" applyFill="1" applyBorder="1" applyAlignment="1">
      <alignment horizontal="center" vertical="center" wrapText="1"/>
    </xf>
    <xf numFmtId="0" fontId="75" fillId="66" borderId="4" xfId="0" applyFont="1" applyFill="1" applyBorder="1" applyAlignment="1">
      <alignment horizontal="center" vertical="center" wrapText="1"/>
    </xf>
    <xf numFmtId="0" fontId="157" fillId="66" borderId="4" xfId="0" applyFont="1" applyFill="1" applyBorder="1" applyAlignment="1">
      <alignment horizontal="center" vertical="center" wrapText="1"/>
    </xf>
    <xf numFmtId="4" fontId="106" fillId="66" borderId="4" xfId="1" applyNumberFormat="1" applyFont="1" applyFill="1" applyBorder="1" applyAlignment="1">
      <alignment horizontal="center" vertical="center" wrapText="1"/>
    </xf>
    <xf numFmtId="14" fontId="53" fillId="2" borderId="17" xfId="0" applyNumberFormat="1" applyFont="1" applyFill="1" applyBorder="1" applyAlignment="1">
      <alignment horizontal="center" vertical="center"/>
    </xf>
    <xf numFmtId="0" fontId="53" fillId="72" borderId="4" xfId="0" applyFont="1" applyFill="1" applyBorder="1" applyAlignment="1">
      <alignment vertical="center" wrapText="1"/>
    </xf>
    <xf numFmtId="4" fontId="0" fillId="2" borderId="18" xfId="0" applyNumberFormat="1" applyFill="1" applyBorder="1"/>
    <xf numFmtId="4" fontId="12" fillId="0" borderId="0" xfId="0" applyNumberFormat="1" applyFont="1" applyAlignment="1">
      <alignment horizontal="center" vertical="center" wrapText="1"/>
    </xf>
    <xf numFmtId="4" fontId="6" fillId="0" borderId="0" xfId="0" applyNumberFormat="1" applyFont="1" applyAlignment="1">
      <alignment horizontal="right" vertical="center" wrapText="1"/>
    </xf>
    <xf numFmtId="0" fontId="91" fillId="2" borderId="4" xfId="0" applyFont="1" applyFill="1" applyBorder="1" applyAlignment="1">
      <alignment horizontal="center"/>
    </xf>
    <xf numFmtId="0" fontId="91" fillId="2" borderId="8" xfId="0" applyFont="1" applyFill="1" applyBorder="1" applyAlignment="1">
      <alignment horizontal="center"/>
    </xf>
    <xf numFmtId="0" fontId="91" fillId="2" borderId="8" xfId="6" applyFont="1" applyFill="1" applyBorder="1" applyAlignment="1">
      <alignment horizontal="left" vertical="center" wrapText="1"/>
    </xf>
    <xf numFmtId="0" fontId="168" fillId="0" borderId="8" xfId="6" applyFont="1" applyBorder="1" applyAlignment="1">
      <alignment horizontal="left" vertical="center" wrapText="1"/>
    </xf>
    <xf numFmtId="0" fontId="169" fillId="0" borderId="8" xfId="6" applyFont="1" applyBorder="1" applyAlignment="1">
      <alignment horizontal="center" vertical="center" wrapText="1"/>
    </xf>
    <xf numFmtId="4" fontId="91" fillId="0" borderId="4" xfId="0" applyNumberFormat="1" applyFont="1" applyBorder="1" applyAlignment="1">
      <alignment horizontal="right" vertical="center"/>
    </xf>
    <xf numFmtId="165" fontId="91" fillId="0" borderId="4" xfId="0" applyNumberFormat="1" applyFont="1" applyBorder="1" applyAlignment="1">
      <alignment horizontal="right" vertical="center"/>
    </xf>
    <xf numFmtId="0" fontId="170" fillId="0" borderId="0" xfId="0" applyFont="1"/>
    <xf numFmtId="0" fontId="91" fillId="0" borderId="8" xfId="6" applyFont="1" applyBorder="1" applyAlignment="1">
      <alignment horizontal="left" vertical="center" wrapText="1"/>
    </xf>
    <xf numFmtId="4" fontId="91" fillId="0" borderId="8" xfId="0" applyNumberFormat="1" applyFont="1" applyBorder="1" applyAlignment="1">
      <alignment horizontal="right" vertical="center"/>
    </xf>
    <xf numFmtId="165" fontId="91" fillId="0" borderId="8" xfId="0" applyNumberFormat="1" applyFont="1" applyBorder="1" applyAlignment="1">
      <alignment horizontal="right" vertical="center"/>
    </xf>
    <xf numFmtId="0" fontId="144" fillId="3" borderId="2" xfId="0" applyFont="1" applyFill="1" applyBorder="1" applyAlignment="1">
      <alignment horizontal="center" vertical="center" wrapText="1"/>
    </xf>
    <xf numFmtId="0" fontId="171" fillId="3" borderId="1" xfId="0" applyFont="1" applyFill="1" applyBorder="1" applyAlignment="1">
      <alignment horizontal="center" vertical="center" wrapText="1"/>
    </xf>
    <xf numFmtId="0" fontId="112" fillId="3" borderId="1" xfId="0" applyFont="1" applyFill="1" applyBorder="1" applyAlignment="1">
      <alignment horizontal="center" vertical="center" wrapText="1"/>
    </xf>
    <xf numFmtId="0" fontId="171" fillId="3" borderId="2" xfId="0" applyFont="1" applyFill="1" applyBorder="1" applyAlignment="1">
      <alignment horizontal="center" vertical="center" wrapText="1"/>
    </xf>
    <xf numFmtId="4" fontId="112" fillId="3" borderId="3" xfId="1" applyNumberFormat="1" applyFont="1" applyFill="1" applyBorder="1" applyAlignment="1">
      <alignment horizontal="center" vertical="center" wrapText="1"/>
    </xf>
    <xf numFmtId="4" fontId="112" fillId="3" borderId="4" xfId="1" applyNumberFormat="1" applyFont="1" applyFill="1" applyBorder="1" applyAlignment="1">
      <alignment horizontal="center" vertical="center" wrapText="1"/>
    </xf>
    <xf numFmtId="0" fontId="166" fillId="0" borderId="0" xfId="0" applyFont="1"/>
    <xf numFmtId="0" fontId="91" fillId="2" borderId="4" xfId="0" applyFont="1" applyFill="1" applyBorder="1" applyAlignment="1">
      <alignment horizontal="left" vertical="center" wrapText="1"/>
    </xf>
    <xf numFmtId="0" fontId="91" fillId="4" borderId="4" xfId="0" applyFont="1" applyFill="1" applyBorder="1" applyAlignment="1">
      <alignment horizontal="left" vertical="center" wrapText="1"/>
    </xf>
    <xf numFmtId="0" fontId="169" fillId="4" borderId="4" xfId="0" applyFont="1" applyFill="1" applyBorder="1" applyAlignment="1">
      <alignment horizontal="center" vertical="center" wrapText="1"/>
    </xf>
    <xf numFmtId="4" fontId="91" fillId="2" borderId="4" xfId="0" applyNumberFormat="1" applyFont="1" applyFill="1" applyBorder="1" applyAlignment="1">
      <alignment horizontal="right" vertical="center"/>
    </xf>
    <xf numFmtId="4" fontId="91" fillId="2" borderId="10" xfId="0" applyNumberFormat="1" applyFont="1" applyFill="1" applyBorder="1" applyAlignment="1">
      <alignment horizontal="right" vertical="center"/>
    </xf>
    <xf numFmtId="4" fontId="142" fillId="0" borderId="5" xfId="1" applyNumberFormat="1" applyFont="1" applyBorder="1" applyAlignment="1">
      <alignment horizontal="center" vertical="center" wrapText="1"/>
    </xf>
    <xf numFmtId="0" fontId="0" fillId="0" borderId="5" xfId="0" applyBorder="1"/>
    <xf numFmtId="43" fontId="85" fillId="0" borderId="0" xfId="0" applyNumberFormat="1" applyFont="1" applyAlignment="1">
      <alignment vertical="center"/>
    </xf>
    <xf numFmtId="0" fontId="24" fillId="2"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1" fillId="2" borderId="8" xfId="0" applyFont="1" applyFill="1" applyBorder="1" applyAlignment="1">
      <alignment horizontal="justify" vertical="center" wrapText="1"/>
    </xf>
    <xf numFmtId="0" fontId="24" fillId="2" borderId="10" xfId="0" applyFont="1" applyFill="1" applyBorder="1" applyAlignment="1">
      <alignment horizontal="center" vertical="center" wrapText="1"/>
    </xf>
    <xf numFmtId="14" fontId="20" fillId="2" borderId="4" xfId="0" applyNumberFormat="1" applyFont="1" applyFill="1" applyBorder="1" applyAlignment="1">
      <alignment horizontal="center" vertical="center" wrapText="1"/>
    </xf>
    <xf numFmtId="0" fontId="153"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0" fillId="0" borderId="6" xfId="0" applyFont="1" applyBorder="1" applyAlignment="1">
      <alignment horizontal="center" vertical="center"/>
    </xf>
    <xf numFmtId="0" fontId="21" fillId="0" borderId="6" xfId="0" applyFont="1" applyBorder="1" applyAlignment="1">
      <alignment horizontal="justify" vertical="center" wrapText="1"/>
    </xf>
    <xf numFmtId="0" fontId="21" fillId="0" borderId="6" xfId="0" applyFont="1" applyBorder="1" applyAlignment="1">
      <alignment horizontal="justify" vertical="center"/>
    </xf>
    <xf numFmtId="0" fontId="24" fillId="0" borderId="6" xfId="0" applyFont="1" applyBorder="1" applyAlignment="1">
      <alignment horizontal="center" vertical="center" wrapText="1"/>
    </xf>
    <xf numFmtId="43" fontId="20" fillId="0" borderId="6" xfId="2" applyNumberFormat="1" applyFont="1" applyBorder="1" applyAlignment="1">
      <alignment horizontal="right" vertical="center" wrapText="1"/>
    </xf>
    <xf numFmtId="0" fontId="21" fillId="2" borderId="8" xfId="0" applyFont="1" applyFill="1" applyBorder="1" applyAlignment="1">
      <alignment horizontal="center" vertical="center"/>
    </xf>
    <xf numFmtId="0" fontId="24" fillId="2" borderId="8" xfId="0" applyFont="1" applyFill="1" applyBorder="1" applyAlignment="1">
      <alignment horizontal="center" vertical="center" wrapText="1"/>
    </xf>
    <xf numFmtId="4" fontId="21" fillId="0" borderId="8" xfId="0" applyNumberFormat="1" applyFont="1" applyBorder="1" applyAlignment="1">
      <alignment vertical="center"/>
    </xf>
    <xf numFmtId="0" fontId="21" fillId="2" borderId="4" xfId="0" applyFont="1" applyFill="1" applyBorder="1" applyAlignment="1">
      <alignment horizontal="center" vertical="center"/>
    </xf>
    <xf numFmtId="4" fontId="21" fillId="0" borderId="4" xfId="0" applyNumberFormat="1" applyFont="1" applyBorder="1" applyAlignment="1">
      <alignment vertical="center"/>
    </xf>
    <xf numFmtId="0" fontId="21" fillId="2" borderId="10" xfId="0" applyFont="1" applyFill="1" applyBorder="1" applyAlignment="1">
      <alignment horizontal="center" vertical="center"/>
    </xf>
    <xf numFmtId="4" fontId="21" fillId="2" borderId="10" xfId="0" applyNumberFormat="1" applyFont="1" applyFill="1" applyBorder="1" applyAlignment="1">
      <alignment vertical="center"/>
    </xf>
    <xf numFmtId="0" fontId="20" fillId="0" borderId="6" xfId="0" applyFont="1" applyBorder="1" applyAlignment="1">
      <alignment horizontal="center" vertical="center" wrapText="1"/>
    </xf>
    <xf numFmtId="0" fontId="21" fillId="2" borderId="4" xfId="0" applyFont="1" applyFill="1" applyBorder="1" applyAlignment="1">
      <alignment horizontal="center" vertical="center" wrapText="1"/>
    </xf>
    <xf numFmtId="4" fontId="21" fillId="0" borderId="4" xfId="0" applyNumberFormat="1" applyFont="1" applyBorder="1" applyAlignment="1">
      <alignment vertical="center" wrapText="1"/>
    </xf>
    <xf numFmtId="4" fontId="20" fillId="2" borderId="4" xfId="0" applyNumberFormat="1" applyFont="1" applyFill="1" applyBorder="1" applyAlignment="1">
      <alignment horizontal="center" vertical="center" wrapText="1"/>
    </xf>
    <xf numFmtId="4" fontId="21" fillId="2" borderId="4" xfId="0" applyNumberFormat="1" applyFont="1" applyFill="1" applyBorder="1" applyAlignment="1">
      <alignment vertical="center" wrapText="1"/>
    </xf>
    <xf numFmtId="4" fontId="22" fillId="2" borderId="4" xfId="0" applyNumberFormat="1" applyFont="1" applyFill="1" applyBorder="1" applyAlignment="1">
      <alignment vertical="center" wrapText="1"/>
    </xf>
    <xf numFmtId="4" fontId="22" fillId="0" borderId="4" xfId="0" applyNumberFormat="1" applyFont="1" applyBorder="1" applyAlignment="1">
      <alignment vertical="center" wrapText="1"/>
    </xf>
    <xf numFmtId="4" fontId="172" fillId="2" borderId="4" xfId="0" applyNumberFormat="1" applyFont="1" applyFill="1" applyBorder="1" applyAlignment="1">
      <alignment horizontal="center" vertical="center" wrapText="1"/>
    </xf>
    <xf numFmtId="14" fontId="21" fillId="2" borderId="4" xfId="0" applyNumberFormat="1" applyFont="1" applyFill="1" applyBorder="1" applyAlignment="1">
      <alignment horizontal="center" vertical="center" wrapText="1"/>
    </xf>
    <xf numFmtId="4" fontId="20" fillId="2" borderId="4" xfId="0" applyNumberFormat="1" applyFont="1" applyFill="1" applyBorder="1" applyAlignment="1">
      <alignment vertical="center" wrapText="1"/>
    </xf>
    <xf numFmtId="14" fontId="20" fillId="0" borderId="4" xfId="0" applyNumberFormat="1" applyFont="1" applyBorder="1" applyAlignment="1">
      <alignment horizontal="center" vertical="center" wrapText="1"/>
    </xf>
    <xf numFmtId="4" fontId="21" fillId="2" borderId="10" xfId="0" applyNumberFormat="1" applyFont="1" applyFill="1" applyBorder="1" applyAlignment="1">
      <alignment vertical="center" wrapText="1"/>
    </xf>
    <xf numFmtId="0" fontId="24" fillId="2" borderId="6" xfId="0" applyFont="1" applyFill="1" applyBorder="1" applyAlignment="1">
      <alignment horizontal="center" vertical="center" wrapText="1"/>
    </xf>
    <xf numFmtId="0" fontId="21" fillId="2" borderId="6" xfId="0" applyFont="1" applyFill="1" applyBorder="1" applyAlignment="1">
      <alignment horizontal="center" vertical="center"/>
    </xf>
    <xf numFmtId="174" fontId="20" fillId="0" borderId="4" xfId="1" applyNumberFormat="1" applyFont="1" applyBorder="1" applyAlignment="1">
      <alignment horizontal="right" vertical="center"/>
    </xf>
    <xf numFmtId="0" fontId="21" fillId="2" borderId="17" xfId="0" applyFont="1" applyFill="1" applyBorder="1" applyAlignment="1">
      <alignment vertical="center" wrapText="1"/>
    </xf>
    <xf numFmtId="0" fontId="20" fillId="2" borderId="8" xfId="0" applyFont="1" applyFill="1" applyBorder="1" applyAlignment="1">
      <alignment vertical="center" wrapText="1"/>
    </xf>
    <xf numFmtId="0" fontId="21" fillId="2" borderId="10" xfId="0" applyFont="1" applyFill="1" applyBorder="1"/>
    <xf numFmtId="0" fontId="20" fillId="0" borderId="10" xfId="0" applyFont="1" applyBorder="1" applyAlignment="1">
      <alignment horizontal="center" vertical="center" wrapText="1"/>
    </xf>
    <xf numFmtId="0" fontId="21" fillId="0" borderId="11" xfId="0" applyFont="1" applyBorder="1" applyAlignment="1">
      <alignment horizontal="center" vertical="center"/>
    </xf>
    <xf numFmtId="0" fontId="21" fillId="2" borderId="4" xfId="0" applyFont="1" applyFill="1" applyBorder="1"/>
    <xf numFmtId="0" fontId="20" fillId="0" borderId="4" xfId="6" applyFont="1" applyBorder="1" applyAlignment="1">
      <alignment horizontal="left" vertical="center" wrapText="1"/>
    </xf>
    <xf numFmtId="0" fontId="153" fillId="2" borderId="43" xfId="0" applyFont="1" applyFill="1" applyBorder="1" applyAlignment="1">
      <alignment vertical="center" wrapText="1"/>
    </xf>
    <xf numFmtId="0" fontId="20" fillId="0" borderId="10" xfId="0" applyFont="1" applyBorder="1" applyAlignment="1">
      <alignment horizontal="center" vertical="center"/>
    </xf>
    <xf numFmtId="0" fontId="21" fillId="0" borderId="10" xfId="0" applyFont="1" applyBorder="1" applyAlignment="1">
      <alignment horizontal="justify" vertical="center" wrapText="1"/>
    </xf>
    <xf numFmtId="4" fontId="20" fillId="2" borderId="6" xfId="0" applyNumberFormat="1" applyFont="1" applyFill="1" applyBorder="1" applyAlignment="1">
      <alignment horizontal="right" vertical="center"/>
    </xf>
    <xf numFmtId="0" fontId="21" fillId="2" borderId="10" xfId="0" applyFont="1" applyFill="1" applyBorder="1" applyAlignment="1">
      <alignment horizontal="left" vertical="center" wrapText="1"/>
    </xf>
    <xf numFmtId="0" fontId="21" fillId="2" borderId="6" xfId="0" applyFont="1" applyFill="1" applyBorder="1" applyAlignment="1">
      <alignment horizontal="justify" vertical="center"/>
    </xf>
    <xf numFmtId="4" fontId="21" fillId="0" borderId="6" xfId="0" applyNumberFormat="1" applyFont="1" applyBorder="1" applyAlignment="1">
      <alignment horizontal="right" vertical="center"/>
    </xf>
    <xf numFmtId="0" fontId="134" fillId="0" borderId="4" xfId="0" applyFont="1" applyBorder="1" applyAlignment="1">
      <alignment horizontal="left" vertical="center" wrapText="1"/>
    </xf>
    <xf numFmtId="0" fontId="134" fillId="0" borderId="4" xfId="0" applyFont="1" applyBorder="1" applyAlignment="1">
      <alignment horizontal="justify" vertical="center" wrapText="1"/>
    </xf>
    <xf numFmtId="0" fontId="134" fillId="2" borderId="4" xfId="6" applyFont="1" applyFill="1" applyBorder="1" applyAlignment="1">
      <alignment horizontal="left" vertical="center" wrapText="1"/>
    </xf>
    <xf numFmtId="4" fontId="21" fillId="2" borderId="4" xfId="0" applyNumberFormat="1" applyFont="1" applyFill="1" applyBorder="1" applyAlignment="1">
      <alignment horizontal="center" vertical="center" wrapText="1"/>
    </xf>
    <xf numFmtId="4" fontId="153" fillId="2" borderId="4" xfId="0" applyNumberFormat="1" applyFont="1" applyFill="1" applyBorder="1" applyAlignment="1">
      <alignment horizontal="center" vertical="center" wrapText="1"/>
    </xf>
    <xf numFmtId="0" fontId="153" fillId="2" borderId="10" xfId="0" applyFont="1" applyFill="1" applyBorder="1" applyAlignment="1">
      <alignment horizontal="center" vertical="center" wrapText="1"/>
    </xf>
    <xf numFmtId="165" fontId="20" fillId="2" borderId="4" xfId="0" applyNumberFormat="1" applyFont="1" applyFill="1" applyBorder="1" applyAlignment="1">
      <alignment horizontal="right" vertical="center"/>
    </xf>
    <xf numFmtId="0" fontId="23" fillId="2" borderId="10" xfId="0" applyFont="1" applyFill="1" applyBorder="1" applyAlignment="1">
      <alignment horizontal="center" vertical="center" wrapText="1"/>
    </xf>
    <xf numFmtId="0" fontId="81" fillId="2" borderId="4" xfId="0" applyFont="1" applyFill="1" applyBorder="1" applyAlignment="1">
      <alignment horizontal="center" vertical="center" wrapText="1"/>
    </xf>
    <xf numFmtId="0" fontId="20" fillId="0" borderId="4" xfId="0" applyFont="1" applyBorder="1" applyAlignment="1">
      <alignment vertical="center" wrapText="1"/>
    </xf>
    <xf numFmtId="0" fontId="21" fillId="2" borderId="10" xfId="0" applyFont="1" applyFill="1" applyBorder="1" applyAlignment="1">
      <alignment horizontal="center" vertical="center" wrapText="1"/>
    </xf>
    <xf numFmtId="0" fontId="21" fillId="0" borderId="10" xfId="0" applyFont="1" applyBorder="1" applyAlignment="1">
      <alignment vertical="center" wrapText="1"/>
    </xf>
    <xf numFmtId="0" fontId="21" fillId="0" borderId="4" xfId="0" applyFont="1" applyBorder="1" applyAlignment="1">
      <alignment vertical="center"/>
    </xf>
    <xf numFmtId="4" fontId="21" fillId="0" borderId="10" xfId="0" applyNumberFormat="1" applyFont="1" applyBorder="1" applyAlignment="1">
      <alignment vertical="center"/>
    </xf>
    <xf numFmtId="0" fontId="173" fillId="0" borderId="4" xfId="0" applyFont="1" applyBorder="1"/>
    <xf numFmtId="165" fontId="23" fillId="0" borderId="10" xfId="0" applyNumberFormat="1" applyFont="1" applyBorder="1" applyAlignment="1">
      <alignment horizontal="right" vertical="center"/>
    </xf>
    <xf numFmtId="165" fontId="23" fillId="0" borderId="4" xfId="0" applyNumberFormat="1" applyFont="1" applyBorder="1" applyAlignment="1">
      <alignment horizontal="right" vertical="center"/>
    </xf>
    <xf numFmtId="0" fontId="23" fillId="2" borderId="10" xfId="0" applyFont="1" applyFill="1" applyBorder="1" applyAlignment="1">
      <alignment horizontal="left" vertical="center" wrapText="1"/>
    </xf>
    <xf numFmtId="14" fontId="23" fillId="2" borderId="10" xfId="0" applyNumberFormat="1" applyFont="1" applyFill="1" applyBorder="1" applyAlignment="1">
      <alignment horizontal="center" vertical="center" wrapText="1"/>
    </xf>
    <xf numFmtId="0" fontId="20" fillId="0" borderId="10" xfId="0" applyFont="1" applyBorder="1" applyAlignment="1">
      <alignment horizontal="left" vertical="center" wrapText="1"/>
    </xf>
    <xf numFmtId="4" fontId="20" fillId="2" borderId="10" xfId="0" applyNumberFormat="1" applyFont="1" applyFill="1" applyBorder="1" applyAlignment="1">
      <alignment horizontal="right" vertical="center" wrapText="1"/>
    </xf>
    <xf numFmtId="4" fontId="24" fillId="2" borderId="10" xfId="0" applyNumberFormat="1" applyFont="1" applyFill="1" applyBorder="1" applyAlignment="1">
      <alignment horizontal="center" vertical="center" wrapText="1"/>
    </xf>
    <xf numFmtId="165" fontId="20" fillId="2" borderId="10" xfId="0" applyNumberFormat="1" applyFont="1" applyFill="1" applyBorder="1" applyAlignment="1">
      <alignment horizontal="right" vertical="center" wrapText="1"/>
    </xf>
    <xf numFmtId="165" fontId="24" fillId="2" borderId="10" xfId="0" applyNumberFormat="1" applyFont="1" applyFill="1" applyBorder="1" applyAlignment="1">
      <alignment horizontal="center" vertical="center" wrapText="1"/>
    </xf>
    <xf numFmtId="4" fontId="20" fillId="0" borderId="6" xfId="0" applyNumberFormat="1" applyFont="1" applyBorder="1" applyAlignment="1">
      <alignment vertical="center" wrapText="1"/>
    </xf>
    <xf numFmtId="4" fontId="20" fillId="0" borderId="6" xfId="0" applyNumberFormat="1" applyFont="1" applyBorder="1" applyAlignment="1">
      <alignment vertical="center"/>
    </xf>
    <xf numFmtId="0" fontId="134" fillId="0" borderId="10" xfId="0" applyFont="1" applyBorder="1" applyAlignment="1">
      <alignment vertical="center" wrapText="1"/>
    </xf>
    <xf numFmtId="4" fontId="20" fillId="2" borderId="17" xfId="0" applyNumberFormat="1" applyFont="1" applyFill="1" applyBorder="1" applyAlignment="1">
      <alignment vertical="center"/>
    </xf>
    <xf numFmtId="4" fontId="20" fillId="0" borderId="17" xfId="0" applyNumberFormat="1" applyFont="1" applyBorder="1" applyAlignment="1">
      <alignment vertical="center"/>
    </xf>
    <xf numFmtId="0" fontId="20" fillId="2" borderId="9" xfId="0" applyFont="1" applyFill="1" applyBorder="1" applyAlignment="1">
      <alignment horizontal="center" vertical="center"/>
    </xf>
    <xf numFmtId="4" fontId="20" fillId="2" borderId="5" xfId="0" applyNumberFormat="1" applyFont="1" applyFill="1" applyBorder="1" applyAlignment="1">
      <alignment vertical="center"/>
    </xf>
    <xf numFmtId="0" fontId="21" fillId="2" borderId="10" xfId="0" applyFont="1" applyFill="1" applyBorder="1" applyAlignment="1">
      <alignment vertical="center" wrapText="1"/>
    </xf>
    <xf numFmtId="0" fontId="175" fillId="0" borderId="4" xfId="0" applyFont="1" applyBorder="1" applyAlignment="1">
      <alignment vertical="center" wrapText="1"/>
    </xf>
    <xf numFmtId="0" fontId="20" fillId="2" borderId="4" xfId="0" quotePrefix="1" applyFont="1" applyFill="1" applyBorder="1" applyAlignment="1">
      <alignment horizontal="center" vertical="center"/>
    </xf>
    <xf numFmtId="4" fontId="20" fillId="2" borderId="13" xfId="0" applyNumberFormat="1" applyFont="1" applyFill="1" applyBorder="1" applyAlignment="1">
      <alignment vertical="center"/>
    </xf>
    <xf numFmtId="4" fontId="20" fillId="0" borderId="4" xfId="3" applyNumberFormat="1" applyFont="1" applyBorder="1" applyAlignment="1">
      <alignment horizontal="right" vertical="center"/>
    </xf>
    <xf numFmtId="165" fontId="20" fillId="2" borderId="4" xfId="0" applyNumberFormat="1" applyFont="1" applyFill="1" applyBorder="1" applyAlignment="1">
      <alignment vertical="center"/>
    </xf>
    <xf numFmtId="165" fontId="20" fillId="2" borderId="10" xfId="0" applyNumberFormat="1" applyFont="1" applyFill="1" applyBorder="1" applyAlignment="1">
      <alignment vertical="center"/>
    </xf>
    <xf numFmtId="4" fontId="20" fillId="0" borderId="10" xfId="3" applyNumberFormat="1" applyFont="1" applyBorder="1" applyAlignment="1">
      <alignment horizontal="right" vertical="center"/>
    </xf>
    <xf numFmtId="14" fontId="20" fillId="2" borderId="10" xfId="0" applyNumberFormat="1" applyFont="1" applyFill="1" applyBorder="1" applyAlignment="1">
      <alignment horizontal="center" vertical="center" wrapText="1"/>
    </xf>
    <xf numFmtId="4" fontId="176" fillId="2" borderId="4" xfId="0" applyNumberFormat="1" applyFont="1" applyFill="1" applyBorder="1" applyAlignment="1">
      <alignment vertical="center"/>
    </xf>
    <xf numFmtId="179" fontId="6" fillId="0" borderId="0" xfId="0" applyNumberFormat="1" applyFont="1" applyAlignment="1">
      <alignment vertical="center" wrapText="1"/>
    </xf>
    <xf numFmtId="179" fontId="6" fillId="0" borderId="0" xfId="0" applyNumberFormat="1" applyFont="1" applyAlignment="1">
      <alignment vertical="center"/>
    </xf>
    <xf numFmtId="4" fontId="153" fillId="2" borderId="43" xfId="0" applyNumberFormat="1" applyFont="1" applyFill="1" applyBorder="1" applyAlignment="1">
      <alignment vertical="center" wrapText="1"/>
    </xf>
    <xf numFmtId="165" fontId="7" fillId="0" borderId="4" xfId="0" applyNumberFormat="1" applyFont="1" applyBorder="1" applyAlignment="1">
      <alignment horizontal="right" vertical="center"/>
    </xf>
    <xf numFmtId="4" fontId="6" fillId="0" borderId="11" xfId="0" applyNumberFormat="1" applyFont="1" applyBorder="1" applyAlignment="1">
      <alignment vertical="center"/>
    </xf>
    <xf numFmtId="4" fontId="74" fillId="0" borderId="0" xfId="1" applyNumberFormat="1" applyFont="1" applyAlignment="1">
      <alignment horizontal="center" vertical="center" wrapText="1"/>
    </xf>
    <xf numFmtId="4" fontId="10" fillId="41" borderId="16" xfId="1" applyNumberFormat="1" applyFont="1" applyFill="1" applyBorder="1" applyAlignment="1">
      <alignment horizontal="center" vertical="center" wrapText="1"/>
    </xf>
    <xf numFmtId="0" fontId="100" fillId="0" borderId="0" xfId="0" applyFont="1" applyAlignment="1">
      <alignment horizontal="center" vertical="center" wrapText="1"/>
    </xf>
    <xf numFmtId="0" fontId="74" fillId="0" borderId="0" xfId="0" applyFont="1" applyAlignment="1">
      <alignment vertical="center" wrapText="1"/>
    </xf>
    <xf numFmtId="0" fontId="74" fillId="0" borderId="0" xfId="0" applyFont="1" applyAlignment="1">
      <alignment horizontal="center" vertical="center" wrapText="1"/>
    </xf>
    <xf numFmtId="4" fontId="74" fillId="2" borderId="0" xfId="1" applyNumberFormat="1" applyFont="1" applyFill="1" applyAlignment="1">
      <alignment horizontal="center" vertical="center" wrapText="1"/>
    </xf>
    <xf numFmtId="0" fontId="177" fillId="0" borderId="0" xfId="0" applyFont="1"/>
    <xf numFmtId="0" fontId="179" fillId="2" borderId="10" xfId="0" applyFont="1" applyFill="1" applyBorder="1" applyAlignment="1">
      <alignment horizontal="center" vertical="center" wrapText="1"/>
    </xf>
    <xf numFmtId="165" fontId="24" fillId="2" borderId="4" xfId="0" applyNumberFormat="1" applyFont="1" applyFill="1" applyBorder="1" applyAlignment="1">
      <alignment horizontal="center" vertical="center" wrapText="1"/>
    </xf>
    <xf numFmtId="165" fontId="20" fillId="2" borderId="4" xfId="0" applyNumberFormat="1" applyFont="1" applyFill="1" applyBorder="1" applyAlignment="1">
      <alignment horizontal="right" vertical="center" wrapText="1"/>
    </xf>
    <xf numFmtId="0" fontId="45" fillId="2" borderId="4" xfId="0" applyFont="1" applyFill="1" applyBorder="1" applyAlignment="1">
      <alignment horizontal="center" vertical="center"/>
    </xf>
    <xf numFmtId="4" fontId="20" fillId="2" borderId="17" xfId="0" applyNumberFormat="1" applyFont="1" applyFill="1" applyBorder="1" applyAlignment="1">
      <alignment horizontal="right" vertical="center"/>
    </xf>
    <xf numFmtId="4" fontId="20" fillId="2" borderId="4" xfId="0" applyNumberFormat="1" applyFont="1" applyFill="1" applyBorder="1" applyAlignment="1">
      <alignment horizontal="right" vertical="center" wrapText="1"/>
    </xf>
    <xf numFmtId="4" fontId="20" fillId="73" borderId="4" xfId="0" applyNumberFormat="1" applyFont="1" applyFill="1" applyBorder="1" applyAlignment="1">
      <alignment horizontal="right" vertical="center"/>
    </xf>
    <xf numFmtId="4" fontId="20" fillId="73" borderId="4" xfId="0" applyNumberFormat="1" applyFont="1" applyFill="1" applyBorder="1" applyAlignment="1">
      <alignment vertical="center"/>
    </xf>
    <xf numFmtId="43" fontId="20" fillId="73" borderId="8" xfId="1" applyFont="1" applyFill="1" applyBorder="1" applyAlignment="1">
      <alignment horizontal="right" vertical="center"/>
    </xf>
    <xf numFmtId="4" fontId="20" fillId="73" borderId="10" xfId="0" applyNumberFormat="1" applyFont="1" applyFill="1" applyBorder="1" applyAlignment="1">
      <alignment horizontal="right" vertical="center"/>
    </xf>
    <xf numFmtId="0" fontId="23" fillId="2" borderId="10" xfId="0" applyFont="1" applyFill="1" applyBorder="1" applyAlignment="1">
      <alignment horizontal="center" vertical="center"/>
    </xf>
    <xf numFmtId="0" fontId="21" fillId="0" borderId="11" xfId="0" applyFont="1" applyBorder="1" applyAlignment="1">
      <alignment horizontal="justify" vertical="center"/>
    </xf>
    <xf numFmtId="10" fontId="6" fillId="2" borderId="10" xfId="0" applyNumberFormat="1" applyFont="1" applyFill="1" applyBorder="1" applyAlignment="1">
      <alignment horizontal="center" vertical="center" wrapText="1"/>
    </xf>
    <xf numFmtId="10" fontId="6" fillId="2" borderId="4" xfId="0" applyNumberFormat="1" applyFont="1" applyFill="1" applyBorder="1" applyAlignment="1">
      <alignment horizontal="center" vertical="center" wrapText="1"/>
    </xf>
    <xf numFmtId="10" fontId="17" fillId="2" borderId="8" xfId="0" applyNumberFormat="1" applyFont="1" applyFill="1" applyBorder="1" applyAlignment="1">
      <alignment horizontal="center" vertical="center" wrapText="1"/>
    </xf>
    <xf numFmtId="10" fontId="7" fillId="0" borderId="8" xfId="0" applyNumberFormat="1" applyFont="1" applyBorder="1" applyAlignment="1">
      <alignment horizontal="center" vertical="center" wrapText="1"/>
    </xf>
    <xf numFmtId="10" fontId="18" fillId="2" borderId="4" xfId="0" applyNumberFormat="1" applyFont="1" applyFill="1" applyBorder="1" applyAlignment="1">
      <alignment horizontal="center" vertical="center" wrapText="1"/>
    </xf>
    <xf numFmtId="10" fontId="20" fillId="2" borderId="10" xfId="0" applyNumberFormat="1" applyFont="1" applyFill="1" applyBorder="1" applyAlignment="1">
      <alignment horizontal="center" vertical="center" wrapText="1"/>
    </xf>
    <xf numFmtId="0" fontId="24" fillId="53" borderId="4" xfId="0" applyFont="1" applyFill="1" applyBorder="1" applyAlignment="1">
      <alignment horizontal="center" vertical="center" wrapText="1"/>
    </xf>
    <xf numFmtId="10" fontId="6" fillId="0" borderId="4" xfId="6" applyNumberFormat="1" applyFont="1" applyBorder="1" applyAlignment="1">
      <alignment horizontal="center" vertical="center" wrapText="1"/>
    </xf>
    <xf numFmtId="10" fontId="6" fillId="0" borderId="8" xfId="6" applyNumberFormat="1" applyFont="1" applyBorder="1" applyAlignment="1">
      <alignment horizontal="center" vertical="center" wrapText="1"/>
    </xf>
    <xf numFmtId="0" fontId="24" fillId="53" borderId="8" xfId="0" applyFont="1" applyFill="1" applyBorder="1" applyAlignment="1">
      <alignment horizontal="center" vertical="center" wrapText="1"/>
    </xf>
    <xf numFmtId="4" fontId="153" fillId="2" borderId="4" xfId="0" applyNumberFormat="1" applyFont="1" applyFill="1" applyBorder="1" applyAlignment="1">
      <alignment vertical="center" wrapText="1"/>
    </xf>
    <xf numFmtId="10" fontId="69" fillId="2" borderId="4" xfId="0" applyNumberFormat="1" applyFont="1" applyFill="1" applyBorder="1" applyAlignment="1">
      <alignment horizontal="center" vertical="center" wrapText="1"/>
    </xf>
    <xf numFmtId="10" fontId="21" fillId="0" borderId="4" xfId="0" applyNumberFormat="1" applyFont="1" applyBorder="1" applyAlignment="1">
      <alignment horizontal="center" vertical="center" wrapText="1"/>
    </xf>
    <xf numFmtId="10" fontId="6" fillId="0" borderId="4" xfId="0" applyNumberFormat="1" applyFont="1" applyBorder="1" applyAlignment="1">
      <alignment horizontal="center" vertical="center" wrapText="1"/>
    </xf>
    <xf numFmtId="0" fontId="24" fillId="53" borderId="10" xfId="0" applyFont="1" applyFill="1" applyBorder="1" applyAlignment="1">
      <alignment horizontal="center" vertical="center" wrapText="1"/>
    </xf>
    <xf numFmtId="0" fontId="23" fillId="53" borderId="4" xfId="0" applyFont="1" applyFill="1" applyBorder="1" applyAlignment="1">
      <alignment horizontal="center" vertical="center" wrapText="1"/>
    </xf>
    <xf numFmtId="10" fontId="6" fillId="2" borderId="4" xfId="0" applyNumberFormat="1" applyFont="1" applyFill="1" applyBorder="1" applyAlignment="1">
      <alignment horizontal="center"/>
    </xf>
    <xf numFmtId="10" fontId="20" fillId="2" borderId="10" xfId="0" applyNumberFormat="1" applyFont="1" applyFill="1" applyBorder="1" applyAlignment="1">
      <alignment horizontal="center" vertical="center"/>
    </xf>
    <xf numFmtId="10" fontId="6" fillId="0" borderId="10" xfId="0" applyNumberFormat="1" applyFont="1" applyBorder="1" applyAlignment="1">
      <alignment horizontal="center" vertical="center" wrapText="1"/>
    </xf>
    <xf numFmtId="10" fontId="7" fillId="0" borderId="10" xfId="0" applyNumberFormat="1" applyFont="1" applyBorder="1" applyAlignment="1">
      <alignment horizontal="center" vertical="center" wrapText="1"/>
    </xf>
    <xf numFmtId="9" fontId="20" fillId="2" borderId="10" xfId="760" applyFont="1" applyFill="1" applyBorder="1" applyAlignment="1">
      <alignment horizontal="center" vertical="center" wrapText="1"/>
    </xf>
    <xf numFmtId="10" fontId="20" fillId="2" borderId="4" xfId="0" applyNumberFormat="1" applyFont="1" applyFill="1" applyBorder="1" applyAlignment="1">
      <alignment horizontal="center" vertical="center" wrapText="1"/>
    </xf>
    <xf numFmtId="10" fontId="7" fillId="2" borderId="10" xfId="0" applyNumberFormat="1" applyFont="1" applyFill="1" applyBorder="1" applyAlignment="1">
      <alignment horizontal="center" vertical="center"/>
    </xf>
    <xf numFmtId="0" fontId="0" fillId="0" borderId="0" xfId="0" applyAlignment="1">
      <alignment wrapText="1"/>
    </xf>
    <xf numFmtId="0" fontId="12" fillId="0" borderId="0" xfId="0" applyFont="1" applyAlignment="1">
      <alignment horizontal="right" vertical="center"/>
    </xf>
    <xf numFmtId="0" fontId="21" fillId="2" borderId="41" xfId="0" applyFont="1" applyFill="1" applyBorder="1" applyAlignment="1">
      <alignment horizontal="center" vertical="center" wrapText="1"/>
    </xf>
    <xf numFmtId="0" fontId="6" fillId="0" borderId="0" xfId="0" applyFont="1" applyAlignment="1">
      <alignment horizontal="center" wrapText="1"/>
    </xf>
    <xf numFmtId="0" fontId="20" fillId="5" borderId="4"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4" fillId="74" borderId="10" xfId="0" applyFont="1" applyFill="1" applyBorder="1" applyAlignment="1">
      <alignment horizontal="center" vertical="center" wrapText="1"/>
    </xf>
    <xf numFmtId="43" fontId="74" fillId="74" borderId="4" xfId="0" applyNumberFormat="1" applyFont="1" applyFill="1" applyBorder="1" applyAlignment="1">
      <alignment horizontal="center" vertical="center" wrapText="1"/>
    </xf>
    <xf numFmtId="0" fontId="25" fillId="0" borderId="0" xfId="0" applyFont="1" applyAlignment="1">
      <alignment horizontal="center"/>
    </xf>
    <xf numFmtId="0" fontId="99" fillId="0" borderId="0" xfId="0" applyFont="1" applyAlignment="1">
      <alignment horizontal="left" vertical="center" wrapText="1"/>
    </xf>
    <xf numFmtId="0" fontId="74" fillId="74" borderId="10" xfId="0" applyFont="1" applyFill="1" applyBorder="1" applyAlignment="1">
      <alignment horizontal="center" vertical="center" wrapText="1"/>
    </xf>
    <xf numFmtId="0" fontId="74" fillId="74" borderId="8" xfId="0" applyFont="1" applyFill="1" applyBorder="1" applyAlignment="1">
      <alignment horizontal="center" vertical="center" wrapText="1"/>
    </xf>
    <xf numFmtId="0" fontId="74" fillId="74" borderId="17" xfId="0" applyFont="1" applyFill="1" applyBorder="1" applyAlignment="1">
      <alignment horizontal="center" vertical="center" wrapText="1"/>
    </xf>
    <xf numFmtId="0" fontId="74" fillId="74" borderId="18" xfId="0" applyFont="1" applyFill="1" applyBorder="1" applyAlignment="1">
      <alignment horizontal="center" vertical="center" wrapText="1"/>
    </xf>
    <xf numFmtId="0" fontId="74" fillId="74" borderId="9" xfId="0" applyFont="1" applyFill="1" applyBorder="1" applyAlignment="1">
      <alignment horizontal="center" vertical="center" wrapText="1"/>
    </xf>
    <xf numFmtId="0" fontId="107" fillId="0" borderId="0" xfId="0" applyFont="1" applyAlignment="1">
      <alignment horizontal="center" vertical="center"/>
    </xf>
    <xf numFmtId="0" fontId="107" fillId="0" borderId="0" xfId="0" applyFont="1" applyAlignment="1">
      <alignment horizontal="center" vertical="center" wrapText="1"/>
    </xf>
    <xf numFmtId="0" fontId="74" fillId="74" borderId="36" xfId="0" applyFont="1" applyFill="1" applyBorder="1" applyAlignment="1">
      <alignment horizontal="center" vertical="center" wrapText="1"/>
    </xf>
    <xf numFmtId="0" fontId="74" fillId="74" borderId="4" xfId="0" applyFont="1" applyFill="1" applyBorder="1" applyAlignment="1">
      <alignment horizontal="center" vertical="center" wrapText="1"/>
    </xf>
    <xf numFmtId="0" fontId="61" fillId="51" borderId="0" xfId="0" applyFont="1" applyFill="1" applyAlignment="1">
      <alignment horizontal="center" vertical="center"/>
    </xf>
    <xf numFmtId="0" fontId="139" fillId="57" borderId="0" xfId="0" applyFont="1" applyFill="1" applyAlignment="1">
      <alignment horizontal="center" vertical="center" wrapText="1"/>
    </xf>
    <xf numFmtId="4" fontId="103" fillId="0" borderId="9" xfId="0" applyNumberFormat="1" applyFont="1" applyBorder="1" applyAlignment="1">
      <alignment horizontal="center" vertical="center" wrapText="1"/>
    </xf>
    <xf numFmtId="4" fontId="103" fillId="0" borderId="8" xfId="0" applyNumberFormat="1" applyFont="1" applyBorder="1" applyAlignment="1">
      <alignment horizontal="center" vertical="center" wrapText="1"/>
    </xf>
    <xf numFmtId="4" fontId="24" fillId="2" borderId="4" xfId="0" applyNumberFormat="1" applyFont="1" applyFill="1" applyBorder="1" applyAlignment="1">
      <alignment horizontal="center" vertical="center"/>
    </xf>
    <xf numFmtId="0" fontId="152" fillId="61" borderId="0" xfId="0" applyFont="1" applyFill="1" applyAlignment="1">
      <alignment horizontal="center" vertical="center" wrapText="1"/>
    </xf>
    <xf numFmtId="0" fontId="55" fillId="44" borderId="4" xfId="0" applyFont="1" applyFill="1" applyBorder="1" applyAlignment="1">
      <alignment horizontal="center"/>
    </xf>
    <xf numFmtId="0" fontId="24" fillId="43" borderId="5" xfId="0" applyFont="1" applyFill="1" applyBorder="1" applyAlignment="1">
      <alignment horizontal="center"/>
    </xf>
    <xf numFmtId="0" fontId="24" fillId="43" borderId="0" xfId="0" applyFont="1" applyFill="1" applyAlignment="1">
      <alignment horizontal="center"/>
    </xf>
    <xf numFmtId="0" fontId="55" fillId="46" borderId="4" xfId="0" applyFont="1" applyFill="1" applyBorder="1" applyAlignment="1">
      <alignment horizontal="center"/>
    </xf>
    <xf numFmtId="0" fontId="148" fillId="0" borderId="5" xfId="0" applyFont="1" applyBorder="1" applyAlignment="1">
      <alignment horizontal="center" vertical="center" wrapText="1"/>
    </xf>
    <xf numFmtId="0" fontId="148" fillId="0" borderId="0" xfId="0" applyFont="1" applyAlignment="1">
      <alignment horizontal="center" vertical="center" wrapText="1"/>
    </xf>
    <xf numFmtId="0" fontId="146" fillId="0" borderId="15" xfId="0" applyFont="1" applyBorder="1" applyAlignment="1">
      <alignment horizontal="left"/>
    </xf>
    <xf numFmtId="0" fontId="76" fillId="48" borderId="15" xfId="0" applyFont="1" applyFill="1" applyBorder="1" applyAlignment="1">
      <alignment horizontal="center"/>
    </xf>
    <xf numFmtId="0" fontId="76" fillId="50" borderId="15" xfId="0" applyFont="1" applyFill="1" applyBorder="1" applyAlignment="1">
      <alignment horizontal="center"/>
    </xf>
    <xf numFmtId="0" fontId="76" fillId="48" borderId="36" xfId="0" applyFont="1" applyFill="1" applyBorder="1" applyAlignment="1">
      <alignment horizontal="center"/>
    </xf>
    <xf numFmtId="0" fontId="76" fillId="48" borderId="4" xfId="0" applyFont="1" applyFill="1" applyBorder="1" applyAlignment="1">
      <alignment horizontal="center"/>
    </xf>
    <xf numFmtId="0" fontId="89" fillId="48" borderId="0" xfId="0" applyFont="1" applyFill="1" applyAlignment="1">
      <alignment horizontal="center"/>
    </xf>
    <xf numFmtId="0" fontId="74" fillId="55" borderId="39" xfId="0" applyFont="1" applyFill="1" applyBorder="1" applyAlignment="1">
      <alignment horizontal="center" vertical="center"/>
    </xf>
    <xf numFmtId="0" fontId="74" fillId="55" borderId="37" xfId="0" applyFont="1" applyFill="1" applyBorder="1" applyAlignment="1">
      <alignment horizontal="center" vertical="center"/>
    </xf>
    <xf numFmtId="0" fontId="76" fillId="48" borderId="41" xfId="0" applyFont="1" applyFill="1" applyBorder="1" applyAlignment="1">
      <alignment horizontal="center"/>
    </xf>
  </cellXfs>
  <cellStyles count="761">
    <cellStyle name="20% - Énfasis1 2" xfId="8" xr:uid="{00000000-0005-0000-0000-000000000000}"/>
    <cellStyle name="20% - Énfasis2 2" xfId="9" xr:uid="{00000000-0005-0000-0000-000001000000}"/>
    <cellStyle name="20% - Énfasis3 2" xfId="10" xr:uid="{00000000-0005-0000-0000-000002000000}"/>
    <cellStyle name="20% - Énfasis4 2" xfId="11" xr:uid="{00000000-0005-0000-0000-000003000000}"/>
    <cellStyle name="20% - Énfasis5 2" xfId="12" xr:uid="{00000000-0005-0000-0000-000004000000}"/>
    <cellStyle name="20% - Énfasis6 2" xfId="13" xr:uid="{00000000-0005-0000-0000-000005000000}"/>
    <cellStyle name="40% - Énfasis1 2" xfId="14" xr:uid="{00000000-0005-0000-0000-000006000000}"/>
    <cellStyle name="40% - Énfasis2 2" xfId="15" xr:uid="{00000000-0005-0000-0000-000007000000}"/>
    <cellStyle name="40% - Énfasis3 2" xfId="16" xr:uid="{00000000-0005-0000-0000-000008000000}"/>
    <cellStyle name="40% - Énfasis4 2" xfId="17" xr:uid="{00000000-0005-0000-0000-000009000000}"/>
    <cellStyle name="40% - Énfasis5 2" xfId="18" xr:uid="{00000000-0005-0000-0000-00000A000000}"/>
    <cellStyle name="40% - Énfasis6 2" xfId="19" xr:uid="{00000000-0005-0000-0000-00000B000000}"/>
    <cellStyle name="60% - Énfasis1 2" xfId="20" xr:uid="{00000000-0005-0000-0000-00000C000000}"/>
    <cellStyle name="60% - Énfasis2 2" xfId="21" xr:uid="{00000000-0005-0000-0000-00000D000000}"/>
    <cellStyle name="60% - Énfasis3 2" xfId="22" xr:uid="{00000000-0005-0000-0000-00000E000000}"/>
    <cellStyle name="60% - Énfasis4 2" xfId="23" xr:uid="{00000000-0005-0000-0000-00000F000000}"/>
    <cellStyle name="60% - Énfasis5 2" xfId="24" xr:uid="{00000000-0005-0000-0000-000010000000}"/>
    <cellStyle name="60% - Énfasis6 2" xfId="25" xr:uid="{00000000-0005-0000-0000-000011000000}"/>
    <cellStyle name="Accent1" xfId="26" xr:uid="{00000000-0005-0000-0000-000012000000}"/>
    <cellStyle name="Accent1 - 20%" xfId="27" xr:uid="{00000000-0005-0000-0000-000013000000}"/>
    <cellStyle name="Accent1 - 20% 2" xfId="28" xr:uid="{00000000-0005-0000-0000-000014000000}"/>
    <cellStyle name="Accent1 - 20% 2 2" xfId="29" xr:uid="{00000000-0005-0000-0000-000015000000}"/>
    <cellStyle name="Accent1 - 20% 3" xfId="30" xr:uid="{00000000-0005-0000-0000-000016000000}"/>
    <cellStyle name="Accent1 - 40%" xfId="31" xr:uid="{00000000-0005-0000-0000-000017000000}"/>
    <cellStyle name="Accent1 - 40% 2" xfId="32" xr:uid="{00000000-0005-0000-0000-000018000000}"/>
    <cellStyle name="Accent1 - 40% 2 2" xfId="33" xr:uid="{00000000-0005-0000-0000-000019000000}"/>
    <cellStyle name="Accent1 - 40% 3" xfId="34" xr:uid="{00000000-0005-0000-0000-00001A000000}"/>
    <cellStyle name="Accent1 - 60%" xfId="35" xr:uid="{00000000-0005-0000-0000-00001B000000}"/>
    <cellStyle name="Accent1 - 60% 2" xfId="36" xr:uid="{00000000-0005-0000-0000-00001C000000}"/>
    <cellStyle name="Accent1 2" xfId="37" xr:uid="{00000000-0005-0000-0000-00001D000000}"/>
    <cellStyle name="Accent1 3" xfId="38" xr:uid="{00000000-0005-0000-0000-00001E000000}"/>
    <cellStyle name="Accent1 4" xfId="39" xr:uid="{00000000-0005-0000-0000-00001F000000}"/>
    <cellStyle name="Accent2" xfId="40" xr:uid="{00000000-0005-0000-0000-000020000000}"/>
    <cellStyle name="Accent2 - 20%" xfId="41" xr:uid="{00000000-0005-0000-0000-000021000000}"/>
    <cellStyle name="Accent2 - 20% 2" xfId="42" xr:uid="{00000000-0005-0000-0000-000022000000}"/>
    <cellStyle name="Accent2 - 20% 2 2" xfId="43" xr:uid="{00000000-0005-0000-0000-000023000000}"/>
    <cellStyle name="Accent2 - 20% 3" xfId="44" xr:uid="{00000000-0005-0000-0000-000024000000}"/>
    <cellStyle name="Accent2 - 40%" xfId="45" xr:uid="{00000000-0005-0000-0000-000025000000}"/>
    <cellStyle name="Accent2 - 40% 2" xfId="46" xr:uid="{00000000-0005-0000-0000-000026000000}"/>
    <cellStyle name="Accent2 - 40% 2 2" xfId="47" xr:uid="{00000000-0005-0000-0000-000027000000}"/>
    <cellStyle name="Accent2 - 40% 3" xfId="48" xr:uid="{00000000-0005-0000-0000-000028000000}"/>
    <cellStyle name="Accent2 - 60%" xfId="49" xr:uid="{00000000-0005-0000-0000-000029000000}"/>
    <cellStyle name="Accent2 - 60% 2" xfId="50" xr:uid="{00000000-0005-0000-0000-00002A000000}"/>
    <cellStyle name="Accent2 2" xfId="51" xr:uid="{00000000-0005-0000-0000-00002B000000}"/>
    <cellStyle name="Accent2 3" xfId="52" xr:uid="{00000000-0005-0000-0000-00002C000000}"/>
    <cellStyle name="Accent2 4" xfId="53" xr:uid="{00000000-0005-0000-0000-00002D000000}"/>
    <cellStyle name="Accent3" xfId="54" xr:uid="{00000000-0005-0000-0000-00002E000000}"/>
    <cellStyle name="Accent3 - 20%" xfId="55" xr:uid="{00000000-0005-0000-0000-00002F000000}"/>
    <cellStyle name="Accent3 - 20% 2" xfId="56" xr:uid="{00000000-0005-0000-0000-000030000000}"/>
    <cellStyle name="Accent3 - 20% 2 2" xfId="57" xr:uid="{00000000-0005-0000-0000-000031000000}"/>
    <cellStyle name="Accent3 - 20% 3" xfId="58" xr:uid="{00000000-0005-0000-0000-000032000000}"/>
    <cellStyle name="Accent3 - 40%" xfId="59" xr:uid="{00000000-0005-0000-0000-000033000000}"/>
    <cellStyle name="Accent3 - 40% 2" xfId="60" xr:uid="{00000000-0005-0000-0000-000034000000}"/>
    <cellStyle name="Accent3 - 40% 2 2" xfId="61" xr:uid="{00000000-0005-0000-0000-000035000000}"/>
    <cellStyle name="Accent3 - 40% 3" xfId="62" xr:uid="{00000000-0005-0000-0000-000036000000}"/>
    <cellStyle name="Accent3 - 60%" xfId="63" xr:uid="{00000000-0005-0000-0000-000037000000}"/>
    <cellStyle name="Accent3 - 60% 2" xfId="64" xr:uid="{00000000-0005-0000-0000-000038000000}"/>
    <cellStyle name="Accent3 2" xfId="65" xr:uid="{00000000-0005-0000-0000-000039000000}"/>
    <cellStyle name="Accent3 3" xfId="66" xr:uid="{00000000-0005-0000-0000-00003A000000}"/>
    <cellStyle name="Accent3 4" xfId="67" xr:uid="{00000000-0005-0000-0000-00003B000000}"/>
    <cellStyle name="Accent4" xfId="68" xr:uid="{00000000-0005-0000-0000-00003C000000}"/>
    <cellStyle name="Accent4 - 20%" xfId="69" xr:uid="{00000000-0005-0000-0000-00003D000000}"/>
    <cellStyle name="Accent4 - 20% 2" xfId="70" xr:uid="{00000000-0005-0000-0000-00003E000000}"/>
    <cellStyle name="Accent4 - 20% 2 2" xfId="71" xr:uid="{00000000-0005-0000-0000-00003F000000}"/>
    <cellStyle name="Accent4 - 20% 3" xfId="72" xr:uid="{00000000-0005-0000-0000-000040000000}"/>
    <cellStyle name="Accent4 - 40%" xfId="73" xr:uid="{00000000-0005-0000-0000-000041000000}"/>
    <cellStyle name="Accent4 - 40% 2" xfId="74" xr:uid="{00000000-0005-0000-0000-000042000000}"/>
    <cellStyle name="Accent4 - 40% 2 2" xfId="75" xr:uid="{00000000-0005-0000-0000-000043000000}"/>
    <cellStyle name="Accent4 - 40% 3" xfId="76" xr:uid="{00000000-0005-0000-0000-000044000000}"/>
    <cellStyle name="Accent4 - 60%" xfId="77" xr:uid="{00000000-0005-0000-0000-000045000000}"/>
    <cellStyle name="Accent4 - 60% 2" xfId="78" xr:uid="{00000000-0005-0000-0000-000046000000}"/>
    <cellStyle name="Accent4 2" xfId="79" xr:uid="{00000000-0005-0000-0000-000047000000}"/>
    <cellStyle name="Accent4 3" xfId="80" xr:uid="{00000000-0005-0000-0000-000048000000}"/>
    <cellStyle name="Accent4 4" xfId="81" xr:uid="{00000000-0005-0000-0000-000049000000}"/>
    <cellStyle name="Accent5" xfId="82" xr:uid="{00000000-0005-0000-0000-00004A000000}"/>
    <cellStyle name="Accent5 - 20%" xfId="83" xr:uid="{00000000-0005-0000-0000-00004B000000}"/>
    <cellStyle name="Accent5 - 20% 2" xfId="84" xr:uid="{00000000-0005-0000-0000-00004C000000}"/>
    <cellStyle name="Accent5 - 20% 2 2" xfId="85" xr:uid="{00000000-0005-0000-0000-00004D000000}"/>
    <cellStyle name="Accent5 - 20% 3" xfId="86" xr:uid="{00000000-0005-0000-0000-00004E000000}"/>
    <cellStyle name="Accent5 - 40%" xfId="87" xr:uid="{00000000-0005-0000-0000-00004F000000}"/>
    <cellStyle name="Accent5 - 40% 2" xfId="88" xr:uid="{00000000-0005-0000-0000-000050000000}"/>
    <cellStyle name="Accent5 - 40% 2 2" xfId="89" xr:uid="{00000000-0005-0000-0000-000051000000}"/>
    <cellStyle name="Accent5 - 40% 3" xfId="90" xr:uid="{00000000-0005-0000-0000-000052000000}"/>
    <cellStyle name="Accent5 - 60%" xfId="91" xr:uid="{00000000-0005-0000-0000-000053000000}"/>
    <cellStyle name="Accent5 - 60% 2" xfId="92" xr:uid="{00000000-0005-0000-0000-000054000000}"/>
    <cellStyle name="Accent5 2" xfId="93" xr:uid="{00000000-0005-0000-0000-000055000000}"/>
    <cellStyle name="Accent5 3" xfId="94" xr:uid="{00000000-0005-0000-0000-000056000000}"/>
    <cellStyle name="Accent5 4" xfId="95" xr:uid="{00000000-0005-0000-0000-000057000000}"/>
    <cellStyle name="Accent6" xfId="96" xr:uid="{00000000-0005-0000-0000-000058000000}"/>
    <cellStyle name="Accent6 - 20%" xfId="97" xr:uid="{00000000-0005-0000-0000-000059000000}"/>
    <cellStyle name="Accent6 - 20% 2" xfId="98" xr:uid="{00000000-0005-0000-0000-00005A000000}"/>
    <cellStyle name="Accent6 - 20% 2 2" xfId="99" xr:uid="{00000000-0005-0000-0000-00005B000000}"/>
    <cellStyle name="Accent6 - 20% 3" xfId="100" xr:uid="{00000000-0005-0000-0000-00005C000000}"/>
    <cellStyle name="Accent6 - 40%" xfId="101" xr:uid="{00000000-0005-0000-0000-00005D000000}"/>
    <cellStyle name="Accent6 - 40% 2" xfId="102" xr:uid="{00000000-0005-0000-0000-00005E000000}"/>
    <cellStyle name="Accent6 - 40% 2 2" xfId="103" xr:uid="{00000000-0005-0000-0000-00005F000000}"/>
    <cellStyle name="Accent6 - 40% 3" xfId="104" xr:uid="{00000000-0005-0000-0000-000060000000}"/>
    <cellStyle name="Accent6 - 60%" xfId="105" xr:uid="{00000000-0005-0000-0000-000061000000}"/>
    <cellStyle name="Accent6 - 60% 2" xfId="106" xr:uid="{00000000-0005-0000-0000-000062000000}"/>
    <cellStyle name="Accent6 2" xfId="107" xr:uid="{00000000-0005-0000-0000-000063000000}"/>
    <cellStyle name="Accent6 3" xfId="108" xr:uid="{00000000-0005-0000-0000-000064000000}"/>
    <cellStyle name="Accent6 4" xfId="109" xr:uid="{00000000-0005-0000-0000-000065000000}"/>
    <cellStyle name="Bad" xfId="110" xr:uid="{00000000-0005-0000-0000-000066000000}"/>
    <cellStyle name="Buena 2" xfId="111" xr:uid="{00000000-0005-0000-0000-000067000000}"/>
    <cellStyle name="Calculation" xfId="112" xr:uid="{00000000-0005-0000-0000-000068000000}"/>
    <cellStyle name="Calculation 2" xfId="113" xr:uid="{00000000-0005-0000-0000-000069000000}"/>
    <cellStyle name="Cálculo 2" xfId="114" xr:uid="{00000000-0005-0000-0000-00006A000000}"/>
    <cellStyle name="Celda de comprobación 2" xfId="115" xr:uid="{00000000-0005-0000-0000-00006B000000}"/>
    <cellStyle name="Celda vinculada 2" xfId="116" xr:uid="{00000000-0005-0000-0000-00006C000000}"/>
    <cellStyle name="Check Cell" xfId="117" xr:uid="{00000000-0005-0000-0000-00006D000000}"/>
    <cellStyle name="Emphasis 1" xfId="118" xr:uid="{00000000-0005-0000-0000-00006E000000}"/>
    <cellStyle name="Emphasis 1 2" xfId="119" xr:uid="{00000000-0005-0000-0000-00006F000000}"/>
    <cellStyle name="Emphasis 2" xfId="120" xr:uid="{00000000-0005-0000-0000-000070000000}"/>
    <cellStyle name="Emphasis 2 2" xfId="121" xr:uid="{00000000-0005-0000-0000-000071000000}"/>
    <cellStyle name="Emphasis 3" xfId="122" xr:uid="{00000000-0005-0000-0000-000072000000}"/>
    <cellStyle name="Emphasis 3 2" xfId="123" xr:uid="{00000000-0005-0000-0000-000073000000}"/>
    <cellStyle name="Encabezado 4 2" xfId="124" xr:uid="{00000000-0005-0000-0000-000074000000}"/>
    <cellStyle name="Énfasis1 2" xfId="125" xr:uid="{00000000-0005-0000-0000-000075000000}"/>
    <cellStyle name="Énfasis2 2" xfId="126" xr:uid="{00000000-0005-0000-0000-000076000000}"/>
    <cellStyle name="Énfasis3 2" xfId="127" xr:uid="{00000000-0005-0000-0000-000077000000}"/>
    <cellStyle name="Énfasis4 2" xfId="128" xr:uid="{00000000-0005-0000-0000-000078000000}"/>
    <cellStyle name="Énfasis5 2" xfId="129" xr:uid="{00000000-0005-0000-0000-000079000000}"/>
    <cellStyle name="Énfasis6 2" xfId="130" xr:uid="{00000000-0005-0000-0000-00007A000000}"/>
    <cellStyle name="Entrada 2" xfId="131" xr:uid="{00000000-0005-0000-0000-00007B000000}"/>
    <cellStyle name="Euro" xfId="132" xr:uid="{00000000-0005-0000-0000-00007C000000}"/>
    <cellStyle name="Euro 2" xfId="133" xr:uid="{00000000-0005-0000-0000-00007D000000}"/>
    <cellStyle name="Euro 2 2" xfId="134" xr:uid="{00000000-0005-0000-0000-00007E000000}"/>
    <cellStyle name="Euro 3" xfId="135" xr:uid="{00000000-0005-0000-0000-00007F000000}"/>
    <cellStyle name="Euro 3 2" xfId="136" xr:uid="{00000000-0005-0000-0000-000080000000}"/>
    <cellStyle name="Euro 4" xfId="137" xr:uid="{00000000-0005-0000-0000-000081000000}"/>
    <cellStyle name="Euro 4 2" xfId="138" xr:uid="{00000000-0005-0000-0000-000082000000}"/>
    <cellStyle name="Euro 5" xfId="139" xr:uid="{00000000-0005-0000-0000-000083000000}"/>
    <cellStyle name="Euro 5 2" xfId="140" xr:uid="{00000000-0005-0000-0000-000084000000}"/>
    <cellStyle name="Euro 6" xfId="141" xr:uid="{00000000-0005-0000-0000-000085000000}"/>
    <cellStyle name="Euro 7" xfId="142" xr:uid="{00000000-0005-0000-0000-000086000000}"/>
    <cellStyle name="Good" xfId="143" xr:uid="{00000000-0005-0000-0000-000087000000}"/>
    <cellStyle name="Good 2" xfId="144" xr:uid="{00000000-0005-0000-0000-000088000000}"/>
    <cellStyle name="Heading 1" xfId="145" xr:uid="{00000000-0005-0000-0000-000089000000}"/>
    <cellStyle name="Heading 2" xfId="146" xr:uid="{00000000-0005-0000-0000-00008A000000}"/>
    <cellStyle name="Heading 3" xfId="147" xr:uid="{00000000-0005-0000-0000-00008B000000}"/>
    <cellStyle name="Heading 4" xfId="148" xr:uid="{00000000-0005-0000-0000-00008C000000}"/>
    <cellStyle name="Incorrecto 2" xfId="149" xr:uid="{00000000-0005-0000-0000-00008D000000}"/>
    <cellStyle name="Input" xfId="150" xr:uid="{00000000-0005-0000-0000-00008E000000}"/>
    <cellStyle name="Linked Cell" xfId="151" xr:uid="{00000000-0005-0000-0000-00008F000000}"/>
    <cellStyle name="Millares 2" xfId="152" xr:uid="{00000000-0005-0000-0000-000090000000}"/>
    <cellStyle name="Millares 2 2" xfId="1" xr:uid="{00000000-0005-0000-0000-000091000000}"/>
    <cellStyle name="Millares 3" xfId="153" xr:uid="{00000000-0005-0000-0000-000092000000}"/>
    <cellStyle name="Millares 3 2" xfId="154" xr:uid="{00000000-0005-0000-0000-000093000000}"/>
    <cellStyle name="Millares 4" xfId="155" xr:uid="{00000000-0005-0000-0000-000094000000}"/>
    <cellStyle name="Millares 4 2" xfId="156" xr:uid="{00000000-0005-0000-0000-000095000000}"/>
    <cellStyle name="Millares 4 3" xfId="157" xr:uid="{00000000-0005-0000-0000-000096000000}"/>
    <cellStyle name="Millares 4 3 2" xfId="158" xr:uid="{00000000-0005-0000-0000-000097000000}"/>
    <cellStyle name="Millares 4 3 3" xfId="159" xr:uid="{00000000-0005-0000-0000-000098000000}"/>
    <cellStyle name="Millares 4 4" xfId="160" xr:uid="{00000000-0005-0000-0000-000099000000}"/>
    <cellStyle name="Millares 4 4 2" xfId="161" xr:uid="{00000000-0005-0000-0000-00009A000000}"/>
    <cellStyle name="Millares 4 5" xfId="162" xr:uid="{00000000-0005-0000-0000-00009B000000}"/>
    <cellStyle name="Millares 4 6" xfId="163" xr:uid="{00000000-0005-0000-0000-00009C000000}"/>
    <cellStyle name="Millares 5" xfId="164" xr:uid="{00000000-0005-0000-0000-00009D000000}"/>
    <cellStyle name="Millares 5 2" xfId="165" xr:uid="{00000000-0005-0000-0000-00009E000000}"/>
    <cellStyle name="Millares 5 3" xfId="166" xr:uid="{00000000-0005-0000-0000-00009F000000}"/>
    <cellStyle name="Millares 6" xfId="167" xr:uid="{00000000-0005-0000-0000-0000A0000000}"/>
    <cellStyle name="Millares 6 2" xfId="168" xr:uid="{00000000-0005-0000-0000-0000A1000000}"/>
    <cellStyle name="Millares 7" xfId="169" xr:uid="{00000000-0005-0000-0000-0000A2000000}"/>
    <cellStyle name="Moneda 10" xfId="170" xr:uid="{00000000-0005-0000-0000-0000A3000000}"/>
    <cellStyle name="Moneda 10 2" xfId="171" xr:uid="{00000000-0005-0000-0000-0000A4000000}"/>
    <cellStyle name="Moneda 10 2 2" xfId="172" xr:uid="{00000000-0005-0000-0000-0000A5000000}"/>
    <cellStyle name="Moneda 10 2 2 2" xfId="173" xr:uid="{00000000-0005-0000-0000-0000A6000000}"/>
    <cellStyle name="Moneda 10 2 3" xfId="174" xr:uid="{00000000-0005-0000-0000-0000A7000000}"/>
    <cellStyle name="Moneda 10 3" xfId="175" xr:uid="{00000000-0005-0000-0000-0000A8000000}"/>
    <cellStyle name="Moneda 10 3 2" xfId="176" xr:uid="{00000000-0005-0000-0000-0000A9000000}"/>
    <cellStyle name="Moneda 10 3 2 2" xfId="177" xr:uid="{00000000-0005-0000-0000-0000AA000000}"/>
    <cellStyle name="Moneda 10 3 3" xfId="178" xr:uid="{00000000-0005-0000-0000-0000AB000000}"/>
    <cellStyle name="Moneda 10 4" xfId="179" xr:uid="{00000000-0005-0000-0000-0000AC000000}"/>
    <cellStyle name="Moneda 10 4 2" xfId="180" xr:uid="{00000000-0005-0000-0000-0000AD000000}"/>
    <cellStyle name="Moneda 10 4 2 2" xfId="181" xr:uid="{00000000-0005-0000-0000-0000AE000000}"/>
    <cellStyle name="Moneda 10 4 3" xfId="182" xr:uid="{00000000-0005-0000-0000-0000AF000000}"/>
    <cellStyle name="Moneda 10 5" xfId="183" xr:uid="{00000000-0005-0000-0000-0000B0000000}"/>
    <cellStyle name="Moneda 10 5 2" xfId="184" xr:uid="{00000000-0005-0000-0000-0000B1000000}"/>
    <cellStyle name="Moneda 10 6" xfId="185" xr:uid="{00000000-0005-0000-0000-0000B2000000}"/>
    <cellStyle name="Moneda 2" xfId="186" xr:uid="{00000000-0005-0000-0000-0000B3000000}"/>
    <cellStyle name="Moneda 2 2" xfId="187" xr:uid="{00000000-0005-0000-0000-0000B4000000}"/>
    <cellStyle name="Moneda 2 2 2" xfId="188" xr:uid="{00000000-0005-0000-0000-0000B5000000}"/>
    <cellStyle name="Moneda 2 3" xfId="2" xr:uid="{00000000-0005-0000-0000-0000B6000000}"/>
    <cellStyle name="Moneda 2 3 2" xfId="189" xr:uid="{00000000-0005-0000-0000-0000B7000000}"/>
    <cellStyle name="Moneda 3" xfId="190" xr:uid="{00000000-0005-0000-0000-0000B8000000}"/>
    <cellStyle name="Moneda 3 2" xfId="191" xr:uid="{00000000-0005-0000-0000-0000B9000000}"/>
    <cellStyle name="Moneda 3 2 2" xfId="192" xr:uid="{00000000-0005-0000-0000-0000BA000000}"/>
    <cellStyle name="Moneda 3 3" xfId="193" xr:uid="{00000000-0005-0000-0000-0000BB000000}"/>
    <cellStyle name="Moneda 4" xfId="194" xr:uid="{00000000-0005-0000-0000-0000BC000000}"/>
    <cellStyle name="Moneda 4 2" xfId="195" xr:uid="{00000000-0005-0000-0000-0000BD000000}"/>
    <cellStyle name="Moneda 4 2 2" xfId="196" xr:uid="{00000000-0005-0000-0000-0000BE000000}"/>
    <cellStyle name="Moneda 4 3" xfId="197" xr:uid="{00000000-0005-0000-0000-0000BF000000}"/>
    <cellStyle name="Moneda 4 3 2" xfId="198" xr:uid="{00000000-0005-0000-0000-0000C0000000}"/>
    <cellStyle name="Moneda 4 4" xfId="199" xr:uid="{00000000-0005-0000-0000-0000C1000000}"/>
    <cellStyle name="Moneda 5" xfId="200" xr:uid="{00000000-0005-0000-0000-0000C2000000}"/>
    <cellStyle name="Moneda 5 2" xfId="201" xr:uid="{00000000-0005-0000-0000-0000C3000000}"/>
    <cellStyle name="Moneda 5 3" xfId="202" xr:uid="{00000000-0005-0000-0000-0000C4000000}"/>
    <cellStyle name="Moneda 6" xfId="203" xr:uid="{00000000-0005-0000-0000-0000C5000000}"/>
    <cellStyle name="Moneda 6 2" xfId="204" xr:uid="{00000000-0005-0000-0000-0000C6000000}"/>
    <cellStyle name="Moneda 6 2 2" xfId="205" xr:uid="{00000000-0005-0000-0000-0000C7000000}"/>
    <cellStyle name="Moneda 6 3" xfId="206" xr:uid="{00000000-0005-0000-0000-0000C8000000}"/>
    <cellStyle name="Moneda 6 3 2" xfId="207" xr:uid="{00000000-0005-0000-0000-0000C9000000}"/>
    <cellStyle name="Moneda 6 4" xfId="208" xr:uid="{00000000-0005-0000-0000-0000CA000000}"/>
    <cellStyle name="Moneda 7" xfId="209" xr:uid="{00000000-0005-0000-0000-0000CB000000}"/>
    <cellStyle name="Moneda 7 2" xfId="210" xr:uid="{00000000-0005-0000-0000-0000CC000000}"/>
    <cellStyle name="Moneda 8" xfId="211" xr:uid="{00000000-0005-0000-0000-0000CD000000}"/>
    <cellStyle name="Moneda 8 2" xfId="212" xr:uid="{00000000-0005-0000-0000-0000CE000000}"/>
    <cellStyle name="Neutral 2" xfId="213" xr:uid="{00000000-0005-0000-0000-0000CF000000}"/>
    <cellStyle name="Normal" xfId="0" builtinId="0"/>
    <cellStyle name="Normal 10" xfId="214" xr:uid="{00000000-0005-0000-0000-0000D1000000}"/>
    <cellStyle name="Normal 10 2" xfId="215" xr:uid="{00000000-0005-0000-0000-0000D2000000}"/>
    <cellStyle name="Normal 10 3" xfId="216" xr:uid="{00000000-0005-0000-0000-0000D3000000}"/>
    <cellStyle name="Normal 11" xfId="217" xr:uid="{00000000-0005-0000-0000-0000D4000000}"/>
    <cellStyle name="Normal 11 2" xfId="218" xr:uid="{00000000-0005-0000-0000-0000D5000000}"/>
    <cellStyle name="Normal 11 3" xfId="219" xr:uid="{00000000-0005-0000-0000-0000D6000000}"/>
    <cellStyle name="Normal 12" xfId="220" xr:uid="{00000000-0005-0000-0000-0000D7000000}"/>
    <cellStyle name="Normal 12 2" xfId="221" xr:uid="{00000000-0005-0000-0000-0000D8000000}"/>
    <cellStyle name="Normal 13" xfId="222" xr:uid="{00000000-0005-0000-0000-0000D9000000}"/>
    <cellStyle name="Normal 14" xfId="223" xr:uid="{00000000-0005-0000-0000-0000DA000000}"/>
    <cellStyle name="Normal 14 2" xfId="224" xr:uid="{00000000-0005-0000-0000-0000DB000000}"/>
    <cellStyle name="Normal 15" xfId="225" xr:uid="{00000000-0005-0000-0000-0000DC000000}"/>
    <cellStyle name="Normal 16" xfId="226" xr:uid="{00000000-0005-0000-0000-0000DD000000}"/>
    <cellStyle name="Normal 17" xfId="227" xr:uid="{00000000-0005-0000-0000-0000DE000000}"/>
    <cellStyle name="Normal 18" xfId="228" xr:uid="{00000000-0005-0000-0000-0000DF000000}"/>
    <cellStyle name="Normal 19" xfId="229" xr:uid="{00000000-0005-0000-0000-0000E0000000}"/>
    <cellStyle name="Normal 2" xfId="230" xr:uid="{00000000-0005-0000-0000-0000E1000000}"/>
    <cellStyle name="Normal 2 10" xfId="231" xr:uid="{00000000-0005-0000-0000-0000E2000000}"/>
    <cellStyle name="Normal 2 10 2" xfId="232" xr:uid="{00000000-0005-0000-0000-0000E3000000}"/>
    <cellStyle name="Normal 2 2" xfId="233" xr:uid="{00000000-0005-0000-0000-0000E4000000}"/>
    <cellStyle name="Normal 2 2 2" xfId="234" xr:uid="{00000000-0005-0000-0000-0000E5000000}"/>
    <cellStyle name="Normal 2 2 2 2" xfId="235" xr:uid="{00000000-0005-0000-0000-0000E6000000}"/>
    <cellStyle name="Normal 2 2 2 2 2" xfId="236" xr:uid="{00000000-0005-0000-0000-0000E7000000}"/>
    <cellStyle name="Normal 2 2 2 2 2 2" xfId="6" xr:uid="{00000000-0005-0000-0000-0000E8000000}"/>
    <cellStyle name="Normal 2 2 2 2 3" xfId="237" xr:uid="{00000000-0005-0000-0000-0000E9000000}"/>
    <cellStyle name="Normal 2 2 2 3" xfId="238" xr:uid="{00000000-0005-0000-0000-0000EA000000}"/>
    <cellStyle name="Normal 2 2 2 3 2" xfId="239" xr:uid="{00000000-0005-0000-0000-0000EB000000}"/>
    <cellStyle name="Normal 2 2 2 3 2 2" xfId="240" xr:uid="{00000000-0005-0000-0000-0000EC000000}"/>
    <cellStyle name="Normal 2 2 2 4" xfId="241" xr:uid="{00000000-0005-0000-0000-0000ED000000}"/>
    <cellStyle name="Normal 2 2 2 5" xfId="242" xr:uid="{00000000-0005-0000-0000-0000EE000000}"/>
    <cellStyle name="Normal 2 2 3" xfId="243" xr:uid="{00000000-0005-0000-0000-0000EF000000}"/>
    <cellStyle name="Normal 2 3" xfId="244" xr:uid="{00000000-0005-0000-0000-0000F0000000}"/>
    <cellStyle name="Normal 2 3 2" xfId="245" xr:uid="{00000000-0005-0000-0000-0000F1000000}"/>
    <cellStyle name="Normal 2 3 2 2" xfId="246" xr:uid="{00000000-0005-0000-0000-0000F2000000}"/>
    <cellStyle name="Normal 2 3 2 2 2" xfId="247" xr:uid="{00000000-0005-0000-0000-0000F3000000}"/>
    <cellStyle name="Normal 2 3 2 3" xfId="248" xr:uid="{00000000-0005-0000-0000-0000F4000000}"/>
    <cellStyle name="Normal 2 3 3" xfId="249" xr:uid="{00000000-0005-0000-0000-0000F5000000}"/>
    <cellStyle name="Normal 2 3 3 2" xfId="250" xr:uid="{00000000-0005-0000-0000-0000F6000000}"/>
    <cellStyle name="Normal 2 3 3 2 2" xfId="251" xr:uid="{00000000-0005-0000-0000-0000F7000000}"/>
    <cellStyle name="Normal 2 3 3 3" xfId="252" xr:uid="{00000000-0005-0000-0000-0000F8000000}"/>
    <cellStyle name="Normal 2 3 4" xfId="253" xr:uid="{00000000-0005-0000-0000-0000F9000000}"/>
    <cellStyle name="Normal 2 3 4 2" xfId="254" xr:uid="{00000000-0005-0000-0000-0000FA000000}"/>
    <cellStyle name="Normal 2 3 5" xfId="255" xr:uid="{00000000-0005-0000-0000-0000FB000000}"/>
    <cellStyle name="Normal 2 4" xfId="256" xr:uid="{00000000-0005-0000-0000-0000FC000000}"/>
    <cellStyle name="Normal 2 4 2" xfId="257" xr:uid="{00000000-0005-0000-0000-0000FD000000}"/>
    <cellStyle name="Normal 2 4 2 2" xfId="258" xr:uid="{00000000-0005-0000-0000-0000FE000000}"/>
    <cellStyle name="Normal 2 4 3" xfId="259" xr:uid="{00000000-0005-0000-0000-0000FF000000}"/>
    <cellStyle name="Normal 2 4 4" xfId="260" xr:uid="{00000000-0005-0000-0000-000000010000}"/>
    <cellStyle name="Normal 2 5" xfId="261" xr:uid="{00000000-0005-0000-0000-000001010000}"/>
    <cellStyle name="Normal 2 5 2" xfId="262" xr:uid="{00000000-0005-0000-0000-000002010000}"/>
    <cellStyle name="Normal 2 5 2 2" xfId="263" xr:uid="{00000000-0005-0000-0000-000003010000}"/>
    <cellStyle name="Normal 2 6" xfId="264" xr:uid="{00000000-0005-0000-0000-000004010000}"/>
    <cellStyle name="Normal 2_Contratos 2009" xfId="265" xr:uid="{00000000-0005-0000-0000-000005010000}"/>
    <cellStyle name="Normal 20" xfId="266" xr:uid="{00000000-0005-0000-0000-000006010000}"/>
    <cellStyle name="Normal 21" xfId="267" xr:uid="{00000000-0005-0000-0000-000007010000}"/>
    <cellStyle name="Normal 22" xfId="268" xr:uid="{00000000-0005-0000-0000-000008010000}"/>
    <cellStyle name="Normal 23" xfId="269" xr:uid="{00000000-0005-0000-0000-000009010000}"/>
    <cellStyle name="Normal 24" xfId="270" xr:uid="{00000000-0005-0000-0000-00000A010000}"/>
    <cellStyle name="Normal 25" xfId="271" xr:uid="{00000000-0005-0000-0000-00000B010000}"/>
    <cellStyle name="Normal 251" xfId="272" xr:uid="{00000000-0005-0000-0000-00000C010000}"/>
    <cellStyle name="Normal 252" xfId="4" xr:uid="{00000000-0005-0000-0000-00000D010000}"/>
    <cellStyle name="Normal 252 2" xfId="273" xr:uid="{00000000-0005-0000-0000-00000E010000}"/>
    <cellStyle name="Normal 253" xfId="3" xr:uid="{00000000-0005-0000-0000-00000F010000}"/>
    <cellStyle name="Normal 253 2" xfId="274" xr:uid="{00000000-0005-0000-0000-000010010000}"/>
    <cellStyle name="Normal 253 2 2" xfId="275" xr:uid="{00000000-0005-0000-0000-000011010000}"/>
    <cellStyle name="Normal 253 3" xfId="276" xr:uid="{00000000-0005-0000-0000-000012010000}"/>
    <cellStyle name="Normal 254" xfId="277" xr:uid="{00000000-0005-0000-0000-000013010000}"/>
    <cellStyle name="Normal 255" xfId="5" xr:uid="{00000000-0005-0000-0000-000014010000}"/>
    <cellStyle name="Normal 255 2" xfId="278" xr:uid="{00000000-0005-0000-0000-000015010000}"/>
    <cellStyle name="Normal 255 2 2" xfId="279" xr:uid="{00000000-0005-0000-0000-000016010000}"/>
    <cellStyle name="Normal 256" xfId="280" xr:uid="{00000000-0005-0000-0000-000017010000}"/>
    <cellStyle name="Normal 257" xfId="281" xr:uid="{00000000-0005-0000-0000-000018010000}"/>
    <cellStyle name="Normal 257 2" xfId="282" xr:uid="{00000000-0005-0000-0000-000019010000}"/>
    <cellStyle name="Normal 257 2 2" xfId="283" xr:uid="{00000000-0005-0000-0000-00001A010000}"/>
    <cellStyle name="Normal 3" xfId="284" xr:uid="{00000000-0005-0000-0000-00001B010000}"/>
    <cellStyle name="Normal 3 10" xfId="285" xr:uid="{00000000-0005-0000-0000-00001C010000}"/>
    <cellStyle name="Normal 3 10 2" xfId="286" xr:uid="{00000000-0005-0000-0000-00001D010000}"/>
    <cellStyle name="Normal 3 100" xfId="287" xr:uid="{00000000-0005-0000-0000-00001E010000}"/>
    <cellStyle name="Normal 3 100 2" xfId="288" xr:uid="{00000000-0005-0000-0000-00001F010000}"/>
    <cellStyle name="Normal 3 101" xfId="289" xr:uid="{00000000-0005-0000-0000-000020010000}"/>
    <cellStyle name="Normal 3 101 2" xfId="290" xr:uid="{00000000-0005-0000-0000-000021010000}"/>
    <cellStyle name="Normal 3 102" xfId="291" xr:uid="{00000000-0005-0000-0000-000022010000}"/>
    <cellStyle name="Normal 3 102 2" xfId="292" xr:uid="{00000000-0005-0000-0000-000023010000}"/>
    <cellStyle name="Normal 3 103" xfId="293" xr:uid="{00000000-0005-0000-0000-000024010000}"/>
    <cellStyle name="Normal 3 103 2" xfId="294" xr:uid="{00000000-0005-0000-0000-000025010000}"/>
    <cellStyle name="Normal 3 104" xfId="295" xr:uid="{00000000-0005-0000-0000-000026010000}"/>
    <cellStyle name="Normal 3 104 2" xfId="296" xr:uid="{00000000-0005-0000-0000-000027010000}"/>
    <cellStyle name="Normal 3 105" xfId="297" xr:uid="{00000000-0005-0000-0000-000028010000}"/>
    <cellStyle name="Normal 3 105 2" xfId="298" xr:uid="{00000000-0005-0000-0000-000029010000}"/>
    <cellStyle name="Normal 3 106" xfId="299" xr:uid="{00000000-0005-0000-0000-00002A010000}"/>
    <cellStyle name="Normal 3 106 2" xfId="300" xr:uid="{00000000-0005-0000-0000-00002B010000}"/>
    <cellStyle name="Normal 3 107" xfId="301" xr:uid="{00000000-0005-0000-0000-00002C010000}"/>
    <cellStyle name="Normal 3 107 2" xfId="302" xr:uid="{00000000-0005-0000-0000-00002D010000}"/>
    <cellStyle name="Normal 3 108" xfId="303" xr:uid="{00000000-0005-0000-0000-00002E010000}"/>
    <cellStyle name="Normal 3 108 2" xfId="304" xr:uid="{00000000-0005-0000-0000-00002F010000}"/>
    <cellStyle name="Normal 3 109" xfId="305" xr:uid="{00000000-0005-0000-0000-000030010000}"/>
    <cellStyle name="Normal 3 109 2" xfId="306" xr:uid="{00000000-0005-0000-0000-000031010000}"/>
    <cellStyle name="Normal 3 11" xfId="307" xr:uid="{00000000-0005-0000-0000-000032010000}"/>
    <cellStyle name="Normal 3 11 2" xfId="308" xr:uid="{00000000-0005-0000-0000-000033010000}"/>
    <cellStyle name="Normal 3 110" xfId="309" xr:uid="{00000000-0005-0000-0000-000034010000}"/>
    <cellStyle name="Normal 3 110 2" xfId="310" xr:uid="{00000000-0005-0000-0000-000035010000}"/>
    <cellStyle name="Normal 3 111" xfId="311" xr:uid="{00000000-0005-0000-0000-000036010000}"/>
    <cellStyle name="Normal 3 111 2" xfId="312" xr:uid="{00000000-0005-0000-0000-000037010000}"/>
    <cellStyle name="Normal 3 112" xfId="313" xr:uid="{00000000-0005-0000-0000-000038010000}"/>
    <cellStyle name="Normal 3 112 2" xfId="314" xr:uid="{00000000-0005-0000-0000-000039010000}"/>
    <cellStyle name="Normal 3 113" xfId="315" xr:uid="{00000000-0005-0000-0000-00003A010000}"/>
    <cellStyle name="Normal 3 113 2" xfId="316" xr:uid="{00000000-0005-0000-0000-00003B010000}"/>
    <cellStyle name="Normal 3 114" xfId="317" xr:uid="{00000000-0005-0000-0000-00003C010000}"/>
    <cellStyle name="Normal 3 114 2" xfId="318" xr:uid="{00000000-0005-0000-0000-00003D010000}"/>
    <cellStyle name="Normal 3 115" xfId="319" xr:uid="{00000000-0005-0000-0000-00003E010000}"/>
    <cellStyle name="Normal 3 115 2" xfId="320" xr:uid="{00000000-0005-0000-0000-00003F010000}"/>
    <cellStyle name="Normal 3 116" xfId="321" xr:uid="{00000000-0005-0000-0000-000040010000}"/>
    <cellStyle name="Normal 3 116 2" xfId="322" xr:uid="{00000000-0005-0000-0000-000041010000}"/>
    <cellStyle name="Normal 3 117" xfId="323" xr:uid="{00000000-0005-0000-0000-000042010000}"/>
    <cellStyle name="Normal 3 117 2" xfId="324" xr:uid="{00000000-0005-0000-0000-000043010000}"/>
    <cellStyle name="Normal 3 118" xfId="325" xr:uid="{00000000-0005-0000-0000-000044010000}"/>
    <cellStyle name="Normal 3 118 2" xfId="326" xr:uid="{00000000-0005-0000-0000-000045010000}"/>
    <cellStyle name="Normal 3 119" xfId="327" xr:uid="{00000000-0005-0000-0000-000046010000}"/>
    <cellStyle name="Normal 3 119 2" xfId="328" xr:uid="{00000000-0005-0000-0000-000047010000}"/>
    <cellStyle name="Normal 3 12" xfId="329" xr:uid="{00000000-0005-0000-0000-000048010000}"/>
    <cellStyle name="Normal 3 12 2" xfId="330" xr:uid="{00000000-0005-0000-0000-000049010000}"/>
    <cellStyle name="Normal 3 120" xfId="331" xr:uid="{00000000-0005-0000-0000-00004A010000}"/>
    <cellStyle name="Normal 3 120 2" xfId="332" xr:uid="{00000000-0005-0000-0000-00004B010000}"/>
    <cellStyle name="Normal 3 121" xfId="333" xr:uid="{00000000-0005-0000-0000-00004C010000}"/>
    <cellStyle name="Normal 3 121 2" xfId="334" xr:uid="{00000000-0005-0000-0000-00004D010000}"/>
    <cellStyle name="Normal 3 122" xfId="335" xr:uid="{00000000-0005-0000-0000-00004E010000}"/>
    <cellStyle name="Normal 3 122 2" xfId="336" xr:uid="{00000000-0005-0000-0000-00004F010000}"/>
    <cellStyle name="Normal 3 123" xfId="337" xr:uid="{00000000-0005-0000-0000-000050010000}"/>
    <cellStyle name="Normal 3 123 2" xfId="338" xr:uid="{00000000-0005-0000-0000-000051010000}"/>
    <cellStyle name="Normal 3 124" xfId="339" xr:uid="{00000000-0005-0000-0000-000052010000}"/>
    <cellStyle name="Normal 3 124 2" xfId="340" xr:uid="{00000000-0005-0000-0000-000053010000}"/>
    <cellStyle name="Normal 3 125" xfId="341" xr:uid="{00000000-0005-0000-0000-000054010000}"/>
    <cellStyle name="Normal 3 125 2" xfId="342" xr:uid="{00000000-0005-0000-0000-000055010000}"/>
    <cellStyle name="Normal 3 126" xfId="343" xr:uid="{00000000-0005-0000-0000-000056010000}"/>
    <cellStyle name="Normal 3 126 2" xfId="344" xr:uid="{00000000-0005-0000-0000-000057010000}"/>
    <cellStyle name="Normal 3 127" xfId="345" xr:uid="{00000000-0005-0000-0000-000058010000}"/>
    <cellStyle name="Normal 3 127 2" xfId="346" xr:uid="{00000000-0005-0000-0000-000059010000}"/>
    <cellStyle name="Normal 3 128" xfId="347" xr:uid="{00000000-0005-0000-0000-00005A010000}"/>
    <cellStyle name="Normal 3 128 2" xfId="348" xr:uid="{00000000-0005-0000-0000-00005B010000}"/>
    <cellStyle name="Normal 3 129" xfId="349" xr:uid="{00000000-0005-0000-0000-00005C010000}"/>
    <cellStyle name="Normal 3 129 2" xfId="350" xr:uid="{00000000-0005-0000-0000-00005D010000}"/>
    <cellStyle name="Normal 3 13" xfId="351" xr:uid="{00000000-0005-0000-0000-00005E010000}"/>
    <cellStyle name="Normal 3 13 2" xfId="352" xr:uid="{00000000-0005-0000-0000-00005F010000}"/>
    <cellStyle name="Normal 3 130" xfId="353" xr:uid="{00000000-0005-0000-0000-000060010000}"/>
    <cellStyle name="Normal 3 130 2" xfId="354" xr:uid="{00000000-0005-0000-0000-000061010000}"/>
    <cellStyle name="Normal 3 131" xfId="355" xr:uid="{00000000-0005-0000-0000-000062010000}"/>
    <cellStyle name="Normal 3 131 2" xfId="356" xr:uid="{00000000-0005-0000-0000-000063010000}"/>
    <cellStyle name="Normal 3 132" xfId="357" xr:uid="{00000000-0005-0000-0000-000064010000}"/>
    <cellStyle name="Normal 3 132 2" xfId="358" xr:uid="{00000000-0005-0000-0000-000065010000}"/>
    <cellStyle name="Normal 3 133" xfId="359" xr:uid="{00000000-0005-0000-0000-000066010000}"/>
    <cellStyle name="Normal 3 133 2" xfId="360" xr:uid="{00000000-0005-0000-0000-000067010000}"/>
    <cellStyle name="Normal 3 134" xfId="361" xr:uid="{00000000-0005-0000-0000-000068010000}"/>
    <cellStyle name="Normal 3 134 2" xfId="362" xr:uid="{00000000-0005-0000-0000-000069010000}"/>
    <cellStyle name="Normal 3 135" xfId="363" xr:uid="{00000000-0005-0000-0000-00006A010000}"/>
    <cellStyle name="Normal 3 135 2" xfId="364" xr:uid="{00000000-0005-0000-0000-00006B010000}"/>
    <cellStyle name="Normal 3 136" xfId="365" xr:uid="{00000000-0005-0000-0000-00006C010000}"/>
    <cellStyle name="Normal 3 136 2" xfId="366" xr:uid="{00000000-0005-0000-0000-00006D010000}"/>
    <cellStyle name="Normal 3 137" xfId="367" xr:uid="{00000000-0005-0000-0000-00006E010000}"/>
    <cellStyle name="Normal 3 137 2" xfId="368" xr:uid="{00000000-0005-0000-0000-00006F010000}"/>
    <cellStyle name="Normal 3 138" xfId="369" xr:uid="{00000000-0005-0000-0000-000070010000}"/>
    <cellStyle name="Normal 3 138 2" xfId="370" xr:uid="{00000000-0005-0000-0000-000071010000}"/>
    <cellStyle name="Normal 3 139" xfId="371" xr:uid="{00000000-0005-0000-0000-000072010000}"/>
    <cellStyle name="Normal 3 139 2" xfId="372" xr:uid="{00000000-0005-0000-0000-000073010000}"/>
    <cellStyle name="Normal 3 14" xfId="373" xr:uid="{00000000-0005-0000-0000-000074010000}"/>
    <cellStyle name="Normal 3 14 2" xfId="374" xr:uid="{00000000-0005-0000-0000-000075010000}"/>
    <cellStyle name="Normal 3 140" xfId="375" xr:uid="{00000000-0005-0000-0000-000076010000}"/>
    <cellStyle name="Normal 3 140 2" xfId="376" xr:uid="{00000000-0005-0000-0000-000077010000}"/>
    <cellStyle name="Normal 3 141" xfId="377" xr:uid="{00000000-0005-0000-0000-000078010000}"/>
    <cellStyle name="Normal 3 141 2" xfId="378" xr:uid="{00000000-0005-0000-0000-000079010000}"/>
    <cellStyle name="Normal 3 142" xfId="379" xr:uid="{00000000-0005-0000-0000-00007A010000}"/>
    <cellStyle name="Normal 3 142 2" xfId="380" xr:uid="{00000000-0005-0000-0000-00007B010000}"/>
    <cellStyle name="Normal 3 143" xfId="381" xr:uid="{00000000-0005-0000-0000-00007C010000}"/>
    <cellStyle name="Normal 3 143 2" xfId="382" xr:uid="{00000000-0005-0000-0000-00007D010000}"/>
    <cellStyle name="Normal 3 144" xfId="383" xr:uid="{00000000-0005-0000-0000-00007E010000}"/>
    <cellStyle name="Normal 3 144 2" xfId="384" xr:uid="{00000000-0005-0000-0000-00007F010000}"/>
    <cellStyle name="Normal 3 145" xfId="385" xr:uid="{00000000-0005-0000-0000-000080010000}"/>
    <cellStyle name="Normal 3 145 2" xfId="386" xr:uid="{00000000-0005-0000-0000-000081010000}"/>
    <cellStyle name="Normal 3 146" xfId="387" xr:uid="{00000000-0005-0000-0000-000082010000}"/>
    <cellStyle name="Normal 3 146 2" xfId="388" xr:uid="{00000000-0005-0000-0000-000083010000}"/>
    <cellStyle name="Normal 3 147" xfId="389" xr:uid="{00000000-0005-0000-0000-000084010000}"/>
    <cellStyle name="Normal 3 147 2" xfId="390" xr:uid="{00000000-0005-0000-0000-000085010000}"/>
    <cellStyle name="Normal 3 148" xfId="391" xr:uid="{00000000-0005-0000-0000-000086010000}"/>
    <cellStyle name="Normal 3 148 2" xfId="392" xr:uid="{00000000-0005-0000-0000-000087010000}"/>
    <cellStyle name="Normal 3 149" xfId="393" xr:uid="{00000000-0005-0000-0000-000088010000}"/>
    <cellStyle name="Normal 3 149 2" xfId="394" xr:uid="{00000000-0005-0000-0000-000089010000}"/>
    <cellStyle name="Normal 3 15" xfId="395" xr:uid="{00000000-0005-0000-0000-00008A010000}"/>
    <cellStyle name="Normal 3 15 2" xfId="396" xr:uid="{00000000-0005-0000-0000-00008B010000}"/>
    <cellStyle name="Normal 3 150" xfId="397" xr:uid="{00000000-0005-0000-0000-00008C010000}"/>
    <cellStyle name="Normal 3 150 2" xfId="398" xr:uid="{00000000-0005-0000-0000-00008D010000}"/>
    <cellStyle name="Normal 3 151" xfId="399" xr:uid="{00000000-0005-0000-0000-00008E010000}"/>
    <cellStyle name="Normal 3 151 2" xfId="400" xr:uid="{00000000-0005-0000-0000-00008F010000}"/>
    <cellStyle name="Normal 3 152" xfId="401" xr:uid="{00000000-0005-0000-0000-000090010000}"/>
    <cellStyle name="Normal 3 152 2" xfId="402" xr:uid="{00000000-0005-0000-0000-000091010000}"/>
    <cellStyle name="Normal 3 153" xfId="403" xr:uid="{00000000-0005-0000-0000-000092010000}"/>
    <cellStyle name="Normal 3 153 2" xfId="404" xr:uid="{00000000-0005-0000-0000-000093010000}"/>
    <cellStyle name="Normal 3 154" xfId="405" xr:uid="{00000000-0005-0000-0000-000094010000}"/>
    <cellStyle name="Normal 3 154 2" xfId="406" xr:uid="{00000000-0005-0000-0000-000095010000}"/>
    <cellStyle name="Normal 3 155" xfId="407" xr:uid="{00000000-0005-0000-0000-000096010000}"/>
    <cellStyle name="Normal 3 155 2" xfId="408" xr:uid="{00000000-0005-0000-0000-000097010000}"/>
    <cellStyle name="Normal 3 156" xfId="409" xr:uid="{00000000-0005-0000-0000-000098010000}"/>
    <cellStyle name="Normal 3 156 2" xfId="410" xr:uid="{00000000-0005-0000-0000-000099010000}"/>
    <cellStyle name="Normal 3 157" xfId="411" xr:uid="{00000000-0005-0000-0000-00009A010000}"/>
    <cellStyle name="Normal 3 157 2" xfId="412" xr:uid="{00000000-0005-0000-0000-00009B010000}"/>
    <cellStyle name="Normal 3 158" xfId="413" xr:uid="{00000000-0005-0000-0000-00009C010000}"/>
    <cellStyle name="Normal 3 158 2" xfId="414" xr:uid="{00000000-0005-0000-0000-00009D010000}"/>
    <cellStyle name="Normal 3 159" xfId="415" xr:uid="{00000000-0005-0000-0000-00009E010000}"/>
    <cellStyle name="Normal 3 159 2" xfId="416" xr:uid="{00000000-0005-0000-0000-00009F010000}"/>
    <cellStyle name="Normal 3 16" xfId="417" xr:uid="{00000000-0005-0000-0000-0000A0010000}"/>
    <cellStyle name="Normal 3 16 2" xfId="418" xr:uid="{00000000-0005-0000-0000-0000A1010000}"/>
    <cellStyle name="Normal 3 160" xfId="419" xr:uid="{00000000-0005-0000-0000-0000A2010000}"/>
    <cellStyle name="Normal 3 160 2" xfId="420" xr:uid="{00000000-0005-0000-0000-0000A3010000}"/>
    <cellStyle name="Normal 3 161" xfId="421" xr:uid="{00000000-0005-0000-0000-0000A4010000}"/>
    <cellStyle name="Normal 3 161 2" xfId="422" xr:uid="{00000000-0005-0000-0000-0000A5010000}"/>
    <cellStyle name="Normal 3 162" xfId="423" xr:uid="{00000000-0005-0000-0000-0000A6010000}"/>
    <cellStyle name="Normal 3 162 2" xfId="424" xr:uid="{00000000-0005-0000-0000-0000A7010000}"/>
    <cellStyle name="Normal 3 163" xfId="425" xr:uid="{00000000-0005-0000-0000-0000A8010000}"/>
    <cellStyle name="Normal 3 163 2" xfId="426" xr:uid="{00000000-0005-0000-0000-0000A9010000}"/>
    <cellStyle name="Normal 3 164" xfId="427" xr:uid="{00000000-0005-0000-0000-0000AA010000}"/>
    <cellStyle name="Normal 3 164 2" xfId="428" xr:uid="{00000000-0005-0000-0000-0000AB010000}"/>
    <cellStyle name="Normal 3 165" xfId="429" xr:uid="{00000000-0005-0000-0000-0000AC010000}"/>
    <cellStyle name="Normal 3 165 2" xfId="430" xr:uid="{00000000-0005-0000-0000-0000AD010000}"/>
    <cellStyle name="Normal 3 166" xfId="431" xr:uid="{00000000-0005-0000-0000-0000AE010000}"/>
    <cellStyle name="Normal 3 166 2" xfId="432" xr:uid="{00000000-0005-0000-0000-0000AF010000}"/>
    <cellStyle name="Normal 3 167" xfId="433" xr:uid="{00000000-0005-0000-0000-0000B0010000}"/>
    <cellStyle name="Normal 3 167 2" xfId="434" xr:uid="{00000000-0005-0000-0000-0000B1010000}"/>
    <cellStyle name="Normal 3 168" xfId="435" xr:uid="{00000000-0005-0000-0000-0000B2010000}"/>
    <cellStyle name="Normal 3 168 2" xfId="436" xr:uid="{00000000-0005-0000-0000-0000B3010000}"/>
    <cellStyle name="Normal 3 169" xfId="437" xr:uid="{00000000-0005-0000-0000-0000B4010000}"/>
    <cellStyle name="Normal 3 169 2" xfId="438" xr:uid="{00000000-0005-0000-0000-0000B5010000}"/>
    <cellStyle name="Normal 3 17" xfId="439" xr:uid="{00000000-0005-0000-0000-0000B6010000}"/>
    <cellStyle name="Normal 3 17 2" xfId="440" xr:uid="{00000000-0005-0000-0000-0000B7010000}"/>
    <cellStyle name="Normal 3 170" xfId="441" xr:uid="{00000000-0005-0000-0000-0000B8010000}"/>
    <cellStyle name="Normal 3 170 2" xfId="442" xr:uid="{00000000-0005-0000-0000-0000B9010000}"/>
    <cellStyle name="Normal 3 171" xfId="443" xr:uid="{00000000-0005-0000-0000-0000BA010000}"/>
    <cellStyle name="Normal 3 171 2" xfId="444" xr:uid="{00000000-0005-0000-0000-0000BB010000}"/>
    <cellStyle name="Normal 3 172" xfId="445" xr:uid="{00000000-0005-0000-0000-0000BC010000}"/>
    <cellStyle name="Normal 3 172 2" xfId="446" xr:uid="{00000000-0005-0000-0000-0000BD010000}"/>
    <cellStyle name="Normal 3 173" xfId="447" xr:uid="{00000000-0005-0000-0000-0000BE010000}"/>
    <cellStyle name="Normal 3 173 2" xfId="448" xr:uid="{00000000-0005-0000-0000-0000BF010000}"/>
    <cellStyle name="Normal 3 174" xfId="449" xr:uid="{00000000-0005-0000-0000-0000C0010000}"/>
    <cellStyle name="Normal 3 174 2" xfId="450" xr:uid="{00000000-0005-0000-0000-0000C1010000}"/>
    <cellStyle name="Normal 3 175" xfId="451" xr:uid="{00000000-0005-0000-0000-0000C2010000}"/>
    <cellStyle name="Normal 3 175 2" xfId="452" xr:uid="{00000000-0005-0000-0000-0000C3010000}"/>
    <cellStyle name="Normal 3 176" xfId="453" xr:uid="{00000000-0005-0000-0000-0000C4010000}"/>
    <cellStyle name="Normal 3 176 2" xfId="454" xr:uid="{00000000-0005-0000-0000-0000C5010000}"/>
    <cellStyle name="Normal 3 177" xfId="455" xr:uid="{00000000-0005-0000-0000-0000C6010000}"/>
    <cellStyle name="Normal 3 177 2" xfId="456" xr:uid="{00000000-0005-0000-0000-0000C7010000}"/>
    <cellStyle name="Normal 3 178" xfId="457" xr:uid="{00000000-0005-0000-0000-0000C8010000}"/>
    <cellStyle name="Normal 3 178 2" xfId="458" xr:uid="{00000000-0005-0000-0000-0000C9010000}"/>
    <cellStyle name="Normal 3 179" xfId="459" xr:uid="{00000000-0005-0000-0000-0000CA010000}"/>
    <cellStyle name="Normal 3 179 2" xfId="460" xr:uid="{00000000-0005-0000-0000-0000CB010000}"/>
    <cellStyle name="Normal 3 18" xfId="461" xr:uid="{00000000-0005-0000-0000-0000CC010000}"/>
    <cellStyle name="Normal 3 18 2" xfId="462" xr:uid="{00000000-0005-0000-0000-0000CD010000}"/>
    <cellStyle name="Normal 3 180" xfId="463" xr:uid="{00000000-0005-0000-0000-0000CE010000}"/>
    <cellStyle name="Normal 3 180 2" xfId="464" xr:uid="{00000000-0005-0000-0000-0000CF010000}"/>
    <cellStyle name="Normal 3 181" xfId="465" xr:uid="{00000000-0005-0000-0000-0000D0010000}"/>
    <cellStyle name="Normal 3 181 2" xfId="466" xr:uid="{00000000-0005-0000-0000-0000D1010000}"/>
    <cellStyle name="Normal 3 182" xfId="467" xr:uid="{00000000-0005-0000-0000-0000D2010000}"/>
    <cellStyle name="Normal 3 182 2" xfId="468" xr:uid="{00000000-0005-0000-0000-0000D3010000}"/>
    <cellStyle name="Normal 3 183" xfId="469" xr:uid="{00000000-0005-0000-0000-0000D4010000}"/>
    <cellStyle name="Normal 3 183 2" xfId="470" xr:uid="{00000000-0005-0000-0000-0000D5010000}"/>
    <cellStyle name="Normal 3 184" xfId="471" xr:uid="{00000000-0005-0000-0000-0000D6010000}"/>
    <cellStyle name="Normal 3 184 2" xfId="472" xr:uid="{00000000-0005-0000-0000-0000D7010000}"/>
    <cellStyle name="Normal 3 185" xfId="473" xr:uid="{00000000-0005-0000-0000-0000D8010000}"/>
    <cellStyle name="Normal 3 185 2" xfId="474" xr:uid="{00000000-0005-0000-0000-0000D9010000}"/>
    <cellStyle name="Normal 3 186" xfId="475" xr:uid="{00000000-0005-0000-0000-0000DA010000}"/>
    <cellStyle name="Normal 3 186 2" xfId="476" xr:uid="{00000000-0005-0000-0000-0000DB010000}"/>
    <cellStyle name="Normal 3 187" xfId="477" xr:uid="{00000000-0005-0000-0000-0000DC010000}"/>
    <cellStyle name="Normal 3 187 2" xfId="478" xr:uid="{00000000-0005-0000-0000-0000DD010000}"/>
    <cellStyle name="Normal 3 188" xfId="479" xr:uid="{00000000-0005-0000-0000-0000DE010000}"/>
    <cellStyle name="Normal 3 188 2" xfId="480" xr:uid="{00000000-0005-0000-0000-0000DF010000}"/>
    <cellStyle name="Normal 3 189" xfId="481" xr:uid="{00000000-0005-0000-0000-0000E0010000}"/>
    <cellStyle name="Normal 3 189 2" xfId="482" xr:uid="{00000000-0005-0000-0000-0000E1010000}"/>
    <cellStyle name="Normal 3 19" xfId="483" xr:uid="{00000000-0005-0000-0000-0000E2010000}"/>
    <cellStyle name="Normal 3 19 2" xfId="484" xr:uid="{00000000-0005-0000-0000-0000E3010000}"/>
    <cellStyle name="Normal 3 190" xfId="485" xr:uid="{00000000-0005-0000-0000-0000E4010000}"/>
    <cellStyle name="Normal 3 190 2" xfId="486" xr:uid="{00000000-0005-0000-0000-0000E5010000}"/>
    <cellStyle name="Normal 3 191" xfId="487" xr:uid="{00000000-0005-0000-0000-0000E6010000}"/>
    <cellStyle name="Normal 3 191 2" xfId="488" xr:uid="{00000000-0005-0000-0000-0000E7010000}"/>
    <cellStyle name="Normal 3 192" xfId="489" xr:uid="{00000000-0005-0000-0000-0000E8010000}"/>
    <cellStyle name="Normal 3 192 2" xfId="490" xr:uid="{00000000-0005-0000-0000-0000E9010000}"/>
    <cellStyle name="Normal 3 193" xfId="491" xr:uid="{00000000-0005-0000-0000-0000EA010000}"/>
    <cellStyle name="Normal 3 193 2" xfId="492" xr:uid="{00000000-0005-0000-0000-0000EB010000}"/>
    <cellStyle name="Normal 3 194" xfId="493" xr:uid="{00000000-0005-0000-0000-0000EC010000}"/>
    <cellStyle name="Normal 3 194 2" xfId="494" xr:uid="{00000000-0005-0000-0000-0000ED010000}"/>
    <cellStyle name="Normal 3 195" xfId="495" xr:uid="{00000000-0005-0000-0000-0000EE010000}"/>
    <cellStyle name="Normal 3 195 2" xfId="496" xr:uid="{00000000-0005-0000-0000-0000EF010000}"/>
    <cellStyle name="Normal 3 196" xfId="497" xr:uid="{00000000-0005-0000-0000-0000F0010000}"/>
    <cellStyle name="Normal 3 2" xfId="498" xr:uid="{00000000-0005-0000-0000-0000F1010000}"/>
    <cellStyle name="Normal 3 2 2" xfId="499" xr:uid="{00000000-0005-0000-0000-0000F2010000}"/>
    <cellStyle name="Normal 3 20" xfId="500" xr:uid="{00000000-0005-0000-0000-0000F3010000}"/>
    <cellStyle name="Normal 3 20 2" xfId="501" xr:uid="{00000000-0005-0000-0000-0000F4010000}"/>
    <cellStyle name="Normal 3 21" xfId="502" xr:uid="{00000000-0005-0000-0000-0000F5010000}"/>
    <cellStyle name="Normal 3 21 2" xfId="503" xr:uid="{00000000-0005-0000-0000-0000F6010000}"/>
    <cellStyle name="Normal 3 22" xfId="504" xr:uid="{00000000-0005-0000-0000-0000F7010000}"/>
    <cellStyle name="Normal 3 22 2" xfId="505" xr:uid="{00000000-0005-0000-0000-0000F8010000}"/>
    <cellStyle name="Normal 3 23" xfId="506" xr:uid="{00000000-0005-0000-0000-0000F9010000}"/>
    <cellStyle name="Normal 3 23 2" xfId="507" xr:uid="{00000000-0005-0000-0000-0000FA010000}"/>
    <cellStyle name="Normal 3 24" xfId="508" xr:uid="{00000000-0005-0000-0000-0000FB010000}"/>
    <cellStyle name="Normal 3 24 2" xfId="509" xr:uid="{00000000-0005-0000-0000-0000FC010000}"/>
    <cellStyle name="Normal 3 25" xfId="510" xr:uid="{00000000-0005-0000-0000-0000FD010000}"/>
    <cellStyle name="Normal 3 25 2" xfId="511" xr:uid="{00000000-0005-0000-0000-0000FE010000}"/>
    <cellStyle name="Normal 3 26" xfId="512" xr:uid="{00000000-0005-0000-0000-0000FF010000}"/>
    <cellStyle name="Normal 3 26 2" xfId="513" xr:uid="{00000000-0005-0000-0000-000000020000}"/>
    <cellStyle name="Normal 3 27" xfId="514" xr:uid="{00000000-0005-0000-0000-000001020000}"/>
    <cellStyle name="Normal 3 27 2" xfId="515" xr:uid="{00000000-0005-0000-0000-000002020000}"/>
    <cellStyle name="Normal 3 28" xfId="516" xr:uid="{00000000-0005-0000-0000-000003020000}"/>
    <cellStyle name="Normal 3 28 2" xfId="517" xr:uid="{00000000-0005-0000-0000-000004020000}"/>
    <cellStyle name="Normal 3 29" xfId="518" xr:uid="{00000000-0005-0000-0000-000005020000}"/>
    <cellStyle name="Normal 3 29 2" xfId="519" xr:uid="{00000000-0005-0000-0000-000006020000}"/>
    <cellStyle name="Normal 3 3" xfId="520" xr:uid="{00000000-0005-0000-0000-000007020000}"/>
    <cellStyle name="Normal 3 3 2" xfId="521" xr:uid="{00000000-0005-0000-0000-000008020000}"/>
    <cellStyle name="Normal 3 30" xfId="522" xr:uid="{00000000-0005-0000-0000-000009020000}"/>
    <cellStyle name="Normal 3 30 2" xfId="523" xr:uid="{00000000-0005-0000-0000-00000A020000}"/>
    <cellStyle name="Normal 3 31" xfId="524" xr:uid="{00000000-0005-0000-0000-00000B020000}"/>
    <cellStyle name="Normal 3 31 2" xfId="525" xr:uid="{00000000-0005-0000-0000-00000C020000}"/>
    <cellStyle name="Normal 3 32" xfId="526" xr:uid="{00000000-0005-0000-0000-00000D020000}"/>
    <cellStyle name="Normal 3 32 2" xfId="527" xr:uid="{00000000-0005-0000-0000-00000E020000}"/>
    <cellStyle name="Normal 3 33" xfId="528" xr:uid="{00000000-0005-0000-0000-00000F020000}"/>
    <cellStyle name="Normal 3 33 2" xfId="529" xr:uid="{00000000-0005-0000-0000-000010020000}"/>
    <cellStyle name="Normal 3 34" xfId="530" xr:uid="{00000000-0005-0000-0000-000011020000}"/>
    <cellStyle name="Normal 3 34 2" xfId="531" xr:uid="{00000000-0005-0000-0000-000012020000}"/>
    <cellStyle name="Normal 3 35" xfId="532" xr:uid="{00000000-0005-0000-0000-000013020000}"/>
    <cellStyle name="Normal 3 35 2" xfId="533" xr:uid="{00000000-0005-0000-0000-000014020000}"/>
    <cellStyle name="Normal 3 36" xfId="534" xr:uid="{00000000-0005-0000-0000-000015020000}"/>
    <cellStyle name="Normal 3 36 2" xfId="535" xr:uid="{00000000-0005-0000-0000-000016020000}"/>
    <cellStyle name="Normal 3 37" xfId="536" xr:uid="{00000000-0005-0000-0000-000017020000}"/>
    <cellStyle name="Normal 3 37 2" xfId="537" xr:uid="{00000000-0005-0000-0000-000018020000}"/>
    <cellStyle name="Normal 3 38" xfId="538" xr:uid="{00000000-0005-0000-0000-000019020000}"/>
    <cellStyle name="Normal 3 38 2" xfId="539" xr:uid="{00000000-0005-0000-0000-00001A020000}"/>
    <cellStyle name="Normal 3 39" xfId="540" xr:uid="{00000000-0005-0000-0000-00001B020000}"/>
    <cellStyle name="Normal 3 39 2" xfId="541" xr:uid="{00000000-0005-0000-0000-00001C020000}"/>
    <cellStyle name="Normal 3 4" xfId="542" xr:uid="{00000000-0005-0000-0000-00001D020000}"/>
    <cellStyle name="Normal 3 4 2" xfId="543" xr:uid="{00000000-0005-0000-0000-00001E020000}"/>
    <cellStyle name="Normal 3 40" xfId="544" xr:uid="{00000000-0005-0000-0000-00001F020000}"/>
    <cellStyle name="Normal 3 40 2" xfId="545" xr:uid="{00000000-0005-0000-0000-000020020000}"/>
    <cellStyle name="Normal 3 41" xfId="546" xr:uid="{00000000-0005-0000-0000-000021020000}"/>
    <cellStyle name="Normal 3 41 2" xfId="547" xr:uid="{00000000-0005-0000-0000-000022020000}"/>
    <cellStyle name="Normal 3 42" xfId="548" xr:uid="{00000000-0005-0000-0000-000023020000}"/>
    <cellStyle name="Normal 3 42 2" xfId="549" xr:uid="{00000000-0005-0000-0000-000024020000}"/>
    <cellStyle name="Normal 3 43" xfId="550" xr:uid="{00000000-0005-0000-0000-000025020000}"/>
    <cellStyle name="Normal 3 43 2" xfId="551" xr:uid="{00000000-0005-0000-0000-000026020000}"/>
    <cellStyle name="Normal 3 44" xfId="552" xr:uid="{00000000-0005-0000-0000-000027020000}"/>
    <cellStyle name="Normal 3 44 2" xfId="553" xr:uid="{00000000-0005-0000-0000-000028020000}"/>
    <cellStyle name="Normal 3 45" xfId="554" xr:uid="{00000000-0005-0000-0000-000029020000}"/>
    <cellStyle name="Normal 3 45 2" xfId="555" xr:uid="{00000000-0005-0000-0000-00002A020000}"/>
    <cellStyle name="Normal 3 46" xfId="556" xr:uid="{00000000-0005-0000-0000-00002B020000}"/>
    <cellStyle name="Normal 3 46 2" xfId="557" xr:uid="{00000000-0005-0000-0000-00002C020000}"/>
    <cellStyle name="Normal 3 47" xfId="558" xr:uid="{00000000-0005-0000-0000-00002D020000}"/>
    <cellStyle name="Normal 3 47 2" xfId="559" xr:uid="{00000000-0005-0000-0000-00002E020000}"/>
    <cellStyle name="Normal 3 48" xfId="560" xr:uid="{00000000-0005-0000-0000-00002F020000}"/>
    <cellStyle name="Normal 3 48 2" xfId="561" xr:uid="{00000000-0005-0000-0000-000030020000}"/>
    <cellStyle name="Normal 3 49" xfId="562" xr:uid="{00000000-0005-0000-0000-000031020000}"/>
    <cellStyle name="Normal 3 49 2" xfId="563" xr:uid="{00000000-0005-0000-0000-000032020000}"/>
    <cellStyle name="Normal 3 5" xfId="564" xr:uid="{00000000-0005-0000-0000-000033020000}"/>
    <cellStyle name="Normal 3 5 2" xfId="565" xr:uid="{00000000-0005-0000-0000-000034020000}"/>
    <cellStyle name="Normal 3 50" xfId="566" xr:uid="{00000000-0005-0000-0000-000035020000}"/>
    <cellStyle name="Normal 3 50 2" xfId="567" xr:uid="{00000000-0005-0000-0000-000036020000}"/>
    <cellStyle name="Normal 3 51" xfId="568" xr:uid="{00000000-0005-0000-0000-000037020000}"/>
    <cellStyle name="Normal 3 51 2" xfId="569" xr:uid="{00000000-0005-0000-0000-000038020000}"/>
    <cellStyle name="Normal 3 52" xfId="570" xr:uid="{00000000-0005-0000-0000-000039020000}"/>
    <cellStyle name="Normal 3 52 2" xfId="571" xr:uid="{00000000-0005-0000-0000-00003A020000}"/>
    <cellStyle name="Normal 3 53" xfId="572" xr:uid="{00000000-0005-0000-0000-00003B020000}"/>
    <cellStyle name="Normal 3 53 2" xfId="573" xr:uid="{00000000-0005-0000-0000-00003C020000}"/>
    <cellStyle name="Normal 3 54" xfId="574" xr:uid="{00000000-0005-0000-0000-00003D020000}"/>
    <cellStyle name="Normal 3 54 2" xfId="575" xr:uid="{00000000-0005-0000-0000-00003E020000}"/>
    <cellStyle name="Normal 3 55" xfId="576" xr:uid="{00000000-0005-0000-0000-00003F020000}"/>
    <cellStyle name="Normal 3 55 2" xfId="577" xr:uid="{00000000-0005-0000-0000-000040020000}"/>
    <cellStyle name="Normal 3 56" xfId="578" xr:uid="{00000000-0005-0000-0000-000041020000}"/>
    <cellStyle name="Normal 3 56 2" xfId="579" xr:uid="{00000000-0005-0000-0000-000042020000}"/>
    <cellStyle name="Normal 3 57" xfId="580" xr:uid="{00000000-0005-0000-0000-000043020000}"/>
    <cellStyle name="Normal 3 57 2" xfId="581" xr:uid="{00000000-0005-0000-0000-000044020000}"/>
    <cellStyle name="Normal 3 58" xfId="582" xr:uid="{00000000-0005-0000-0000-000045020000}"/>
    <cellStyle name="Normal 3 58 2" xfId="583" xr:uid="{00000000-0005-0000-0000-000046020000}"/>
    <cellStyle name="Normal 3 59" xfId="584" xr:uid="{00000000-0005-0000-0000-000047020000}"/>
    <cellStyle name="Normal 3 59 2" xfId="585" xr:uid="{00000000-0005-0000-0000-000048020000}"/>
    <cellStyle name="Normal 3 6" xfId="586" xr:uid="{00000000-0005-0000-0000-000049020000}"/>
    <cellStyle name="Normal 3 6 2" xfId="587" xr:uid="{00000000-0005-0000-0000-00004A020000}"/>
    <cellStyle name="Normal 3 60" xfId="588" xr:uid="{00000000-0005-0000-0000-00004B020000}"/>
    <cellStyle name="Normal 3 60 2" xfId="589" xr:uid="{00000000-0005-0000-0000-00004C020000}"/>
    <cellStyle name="Normal 3 61" xfId="590" xr:uid="{00000000-0005-0000-0000-00004D020000}"/>
    <cellStyle name="Normal 3 61 2" xfId="591" xr:uid="{00000000-0005-0000-0000-00004E020000}"/>
    <cellStyle name="Normal 3 62" xfId="592" xr:uid="{00000000-0005-0000-0000-00004F020000}"/>
    <cellStyle name="Normal 3 62 2" xfId="593" xr:uid="{00000000-0005-0000-0000-000050020000}"/>
    <cellStyle name="Normal 3 63" xfId="594" xr:uid="{00000000-0005-0000-0000-000051020000}"/>
    <cellStyle name="Normal 3 63 2" xfId="595" xr:uid="{00000000-0005-0000-0000-000052020000}"/>
    <cellStyle name="Normal 3 64" xfId="596" xr:uid="{00000000-0005-0000-0000-000053020000}"/>
    <cellStyle name="Normal 3 64 2" xfId="597" xr:uid="{00000000-0005-0000-0000-000054020000}"/>
    <cellStyle name="Normal 3 65" xfId="598" xr:uid="{00000000-0005-0000-0000-000055020000}"/>
    <cellStyle name="Normal 3 65 2" xfId="599" xr:uid="{00000000-0005-0000-0000-000056020000}"/>
    <cellStyle name="Normal 3 66" xfId="600" xr:uid="{00000000-0005-0000-0000-000057020000}"/>
    <cellStyle name="Normal 3 66 2" xfId="601" xr:uid="{00000000-0005-0000-0000-000058020000}"/>
    <cellStyle name="Normal 3 67" xfId="602" xr:uid="{00000000-0005-0000-0000-000059020000}"/>
    <cellStyle name="Normal 3 67 2" xfId="603" xr:uid="{00000000-0005-0000-0000-00005A020000}"/>
    <cellStyle name="Normal 3 68" xfId="604" xr:uid="{00000000-0005-0000-0000-00005B020000}"/>
    <cellStyle name="Normal 3 68 2" xfId="605" xr:uid="{00000000-0005-0000-0000-00005C020000}"/>
    <cellStyle name="Normal 3 69" xfId="606" xr:uid="{00000000-0005-0000-0000-00005D020000}"/>
    <cellStyle name="Normal 3 69 2" xfId="607" xr:uid="{00000000-0005-0000-0000-00005E020000}"/>
    <cellStyle name="Normal 3 7" xfId="608" xr:uid="{00000000-0005-0000-0000-00005F020000}"/>
    <cellStyle name="Normal 3 7 2" xfId="609" xr:uid="{00000000-0005-0000-0000-000060020000}"/>
    <cellStyle name="Normal 3 70" xfId="610" xr:uid="{00000000-0005-0000-0000-000061020000}"/>
    <cellStyle name="Normal 3 70 2" xfId="611" xr:uid="{00000000-0005-0000-0000-000062020000}"/>
    <cellStyle name="Normal 3 71" xfId="612" xr:uid="{00000000-0005-0000-0000-000063020000}"/>
    <cellStyle name="Normal 3 71 2" xfId="613" xr:uid="{00000000-0005-0000-0000-000064020000}"/>
    <cellStyle name="Normal 3 72" xfId="614" xr:uid="{00000000-0005-0000-0000-000065020000}"/>
    <cellStyle name="Normal 3 72 2" xfId="615" xr:uid="{00000000-0005-0000-0000-000066020000}"/>
    <cellStyle name="Normal 3 73" xfId="616" xr:uid="{00000000-0005-0000-0000-000067020000}"/>
    <cellStyle name="Normal 3 73 2" xfId="617" xr:uid="{00000000-0005-0000-0000-000068020000}"/>
    <cellStyle name="Normal 3 74" xfId="618" xr:uid="{00000000-0005-0000-0000-000069020000}"/>
    <cellStyle name="Normal 3 74 2" xfId="619" xr:uid="{00000000-0005-0000-0000-00006A020000}"/>
    <cellStyle name="Normal 3 75" xfId="620" xr:uid="{00000000-0005-0000-0000-00006B020000}"/>
    <cellStyle name="Normal 3 75 2" xfId="621" xr:uid="{00000000-0005-0000-0000-00006C020000}"/>
    <cellStyle name="Normal 3 76" xfId="622" xr:uid="{00000000-0005-0000-0000-00006D020000}"/>
    <cellStyle name="Normal 3 76 2" xfId="623" xr:uid="{00000000-0005-0000-0000-00006E020000}"/>
    <cellStyle name="Normal 3 77" xfId="624" xr:uid="{00000000-0005-0000-0000-00006F020000}"/>
    <cellStyle name="Normal 3 77 2" xfId="625" xr:uid="{00000000-0005-0000-0000-000070020000}"/>
    <cellStyle name="Normal 3 78" xfId="626" xr:uid="{00000000-0005-0000-0000-000071020000}"/>
    <cellStyle name="Normal 3 78 2" xfId="627" xr:uid="{00000000-0005-0000-0000-000072020000}"/>
    <cellStyle name="Normal 3 79" xfId="628" xr:uid="{00000000-0005-0000-0000-000073020000}"/>
    <cellStyle name="Normal 3 79 2" xfId="629" xr:uid="{00000000-0005-0000-0000-000074020000}"/>
    <cellStyle name="Normal 3 8" xfId="630" xr:uid="{00000000-0005-0000-0000-000075020000}"/>
    <cellStyle name="Normal 3 8 2" xfId="631" xr:uid="{00000000-0005-0000-0000-000076020000}"/>
    <cellStyle name="Normal 3 80" xfId="632" xr:uid="{00000000-0005-0000-0000-000077020000}"/>
    <cellStyle name="Normal 3 80 2" xfId="633" xr:uid="{00000000-0005-0000-0000-000078020000}"/>
    <cellStyle name="Normal 3 81" xfId="634" xr:uid="{00000000-0005-0000-0000-000079020000}"/>
    <cellStyle name="Normal 3 81 2" xfId="635" xr:uid="{00000000-0005-0000-0000-00007A020000}"/>
    <cellStyle name="Normal 3 82" xfId="636" xr:uid="{00000000-0005-0000-0000-00007B020000}"/>
    <cellStyle name="Normal 3 82 2" xfId="637" xr:uid="{00000000-0005-0000-0000-00007C020000}"/>
    <cellStyle name="Normal 3 83" xfId="638" xr:uid="{00000000-0005-0000-0000-00007D020000}"/>
    <cellStyle name="Normal 3 83 2" xfId="639" xr:uid="{00000000-0005-0000-0000-00007E020000}"/>
    <cellStyle name="Normal 3 84" xfId="640" xr:uid="{00000000-0005-0000-0000-00007F020000}"/>
    <cellStyle name="Normal 3 84 2" xfId="641" xr:uid="{00000000-0005-0000-0000-000080020000}"/>
    <cellStyle name="Normal 3 85" xfId="642" xr:uid="{00000000-0005-0000-0000-000081020000}"/>
    <cellStyle name="Normal 3 85 2" xfId="643" xr:uid="{00000000-0005-0000-0000-000082020000}"/>
    <cellStyle name="Normal 3 86" xfId="644" xr:uid="{00000000-0005-0000-0000-000083020000}"/>
    <cellStyle name="Normal 3 86 2" xfId="645" xr:uid="{00000000-0005-0000-0000-000084020000}"/>
    <cellStyle name="Normal 3 87" xfId="646" xr:uid="{00000000-0005-0000-0000-000085020000}"/>
    <cellStyle name="Normal 3 87 2" xfId="647" xr:uid="{00000000-0005-0000-0000-000086020000}"/>
    <cellStyle name="Normal 3 88" xfId="648" xr:uid="{00000000-0005-0000-0000-000087020000}"/>
    <cellStyle name="Normal 3 88 2" xfId="649" xr:uid="{00000000-0005-0000-0000-000088020000}"/>
    <cellStyle name="Normal 3 89" xfId="650" xr:uid="{00000000-0005-0000-0000-000089020000}"/>
    <cellStyle name="Normal 3 89 2" xfId="651" xr:uid="{00000000-0005-0000-0000-00008A020000}"/>
    <cellStyle name="Normal 3 9" xfId="652" xr:uid="{00000000-0005-0000-0000-00008B020000}"/>
    <cellStyle name="Normal 3 9 2" xfId="653" xr:uid="{00000000-0005-0000-0000-00008C020000}"/>
    <cellStyle name="Normal 3 90" xfId="654" xr:uid="{00000000-0005-0000-0000-00008D020000}"/>
    <cellStyle name="Normal 3 90 2" xfId="655" xr:uid="{00000000-0005-0000-0000-00008E020000}"/>
    <cellStyle name="Normal 3 91" xfId="656" xr:uid="{00000000-0005-0000-0000-00008F020000}"/>
    <cellStyle name="Normal 3 91 2" xfId="657" xr:uid="{00000000-0005-0000-0000-000090020000}"/>
    <cellStyle name="Normal 3 92" xfId="658" xr:uid="{00000000-0005-0000-0000-000091020000}"/>
    <cellStyle name="Normal 3 92 2" xfId="659" xr:uid="{00000000-0005-0000-0000-000092020000}"/>
    <cellStyle name="Normal 3 93" xfId="660" xr:uid="{00000000-0005-0000-0000-000093020000}"/>
    <cellStyle name="Normal 3 93 2" xfId="661" xr:uid="{00000000-0005-0000-0000-000094020000}"/>
    <cellStyle name="Normal 3 94" xfId="662" xr:uid="{00000000-0005-0000-0000-000095020000}"/>
    <cellStyle name="Normal 3 94 2" xfId="663" xr:uid="{00000000-0005-0000-0000-000096020000}"/>
    <cellStyle name="Normal 3 95" xfId="664" xr:uid="{00000000-0005-0000-0000-000097020000}"/>
    <cellStyle name="Normal 3 95 2" xfId="665" xr:uid="{00000000-0005-0000-0000-000098020000}"/>
    <cellStyle name="Normal 3 96" xfId="666" xr:uid="{00000000-0005-0000-0000-000099020000}"/>
    <cellStyle name="Normal 3 96 2" xfId="667" xr:uid="{00000000-0005-0000-0000-00009A020000}"/>
    <cellStyle name="Normal 3 97" xfId="668" xr:uid="{00000000-0005-0000-0000-00009B020000}"/>
    <cellStyle name="Normal 3 97 2" xfId="669" xr:uid="{00000000-0005-0000-0000-00009C020000}"/>
    <cellStyle name="Normal 3 98" xfId="670" xr:uid="{00000000-0005-0000-0000-00009D020000}"/>
    <cellStyle name="Normal 3 98 2" xfId="671" xr:uid="{00000000-0005-0000-0000-00009E020000}"/>
    <cellStyle name="Normal 3 99" xfId="672" xr:uid="{00000000-0005-0000-0000-00009F020000}"/>
    <cellStyle name="Normal 3 99 2" xfId="673" xr:uid="{00000000-0005-0000-0000-0000A0020000}"/>
    <cellStyle name="Normal 3_PGO 2014preliminarLibre10Dic" xfId="674" xr:uid="{00000000-0005-0000-0000-0000A1020000}"/>
    <cellStyle name="Normal 4" xfId="675" xr:uid="{00000000-0005-0000-0000-0000A2020000}"/>
    <cellStyle name="Normal 4 2" xfId="676" xr:uid="{00000000-0005-0000-0000-0000A3020000}"/>
    <cellStyle name="Normal 4 2 2" xfId="677" xr:uid="{00000000-0005-0000-0000-0000A4020000}"/>
    <cellStyle name="Normal 4 2 2 2" xfId="678" xr:uid="{00000000-0005-0000-0000-0000A5020000}"/>
    <cellStyle name="Normal 4 2 3" xfId="679" xr:uid="{00000000-0005-0000-0000-0000A6020000}"/>
    <cellStyle name="Normal 4 2 4" xfId="680" xr:uid="{00000000-0005-0000-0000-0000A7020000}"/>
    <cellStyle name="Normal 4 3" xfId="681" xr:uid="{00000000-0005-0000-0000-0000A8020000}"/>
    <cellStyle name="Normal 4 3 2" xfId="682" xr:uid="{00000000-0005-0000-0000-0000A9020000}"/>
    <cellStyle name="Normal 4 3 2 2" xfId="683" xr:uid="{00000000-0005-0000-0000-0000AA020000}"/>
    <cellStyle name="Normal 4 3 3" xfId="684" xr:uid="{00000000-0005-0000-0000-0000AB020000}"/>
    <cellStyle name="Normal 4 3 4" xfId="685" xr:uid="{00000000-0005-0000-0000-0000AC020000}"/>
    <cellStyle name="Normal 4 4" xfId="686" xr:uid="{00000000-0005-0000-0000-0000AD020000}"/>
    <cellStyle name="Normal 4 4 2" xfId="687" xr:uid="{00000000-0005-0000-0000-0000AE020000}"/>
    <cellStyle name="Normal 4 4 2 2" xfId="688" xr:uid="{00000000-0005-0000-0000-0000AF020000}"/>
    <cellStyle name="Normal 4 5" xfId="689" xr:uid="{00000000-0005-0000-0000-0000B0020000}"/>
    <cellStyle name="Normal 4 6" xfId="690" xr:uid="{00000000-0005-0000-0000-0000B1020000}"/>
    <cellStyle name="Normal 5" xfId="691" xr:uid="{00000000-0005-0000-0000-0000B2020000}"/>
    <cellStyle name="Normal 5 2" xfId="692" xr:uid="{00000000-0005-0000-0000-0000B3020000}"/>
    <cellStyle name="Normal 5 2 2" xfId="693" xr:uid="{00000000-0005-0000-0000-0000B4020000}"/>
    <cellStyle name="Normal 5 3" xfId="694" xr:uid="{00000000-0005-0000-0000-0000B5020000}"/>
    <cellStyle name="Normal 5 3 2" xfId="695" xr:uid="{00000000-0005-0000-0000-0000B6020000}"/>
    <cellStyle name="Normal 6" xfId="696" xr:uid="{00000000-0005-0000-0000-0000B7020000}"/>
    <cellStyle name="Normal 6 2" xfId="697" xr:uid="{00000000-0005-0000-0000-0000B8020000}"/>
    <cellStyle name="Normal 64" xfId="698" xr:uid="{00000000-0005-0000-0000-0000B9020000}"/>
    <cellStyle name="Normal 68" xfId="699" xr:uid="{00000000-0005-0000-0000-0000BA020000}"/>
    <cellStyle name="Normal 68 2" xfId="700" xr:uid="{00000000-0005-0000-0000-0000BB020000}"/>
    <cellStyle name="Normal 68 2 2" xfId="701" xr:uid="{00000000-0005-0000-0000-0000BC020000}"/>
    <cellStyle name="Normal 68 3" xfId="702" xr:uid="{00000000-0005-0000-0000-0000BD020000}"/>
    <cellStyle name="Normal 7" xfId="703" xr:uid="{00000000-0005-0000-0000-0000BE020000}"/>
    <cellStyle name="Normal 7 2" xfId="704" xr:uid="{00000000-0005-0000-0000-0000BF020000}"/>
    <cellStyle name="Normal 7 3" xfId="705" xr:uid="{00000000-0005-0000-0000-0000C0020000}"/>
    <cellStyle name="Normal 7 4" xfId="706" xr:uid="{00000000-0005-0000-0000-0000C1020000}"/>
    <cellStyle name="Normal 71" xfId="707" xr:uid="{00000000-0005-0000-0000-0000C2020000}"/>
    <cellStyle name="Normal 71 2" xfId="708" xr:uid="{00000000-0005-0000-0000-0000C3020000}"/>
    <cellStyle name="Normal 71 2 2" xfId="709" xr:uid="{00000000-0005-0000-0000-0000C4020000}"/>
    <cellStyle name="Normal 71 3" xfId="710" xr:uid="{00000000-0005-0000-0000-0000C5020000}"/>
    <cellStyle name="Normal 73" xfId="711" xr:uid="{00000000-0005-0000-0000-0000C6020000}"/>
    <cellStyle name="Normal 73 2" xfId="712" xr:uid="{00000000-0005-0000-0000-0000C7020000}"/>
    <cellStyle name="Normal 73 2 2" xfId="713" xr:uid="{00000000-0005-0000-0000-0000C8020000}"/>
    <cellStyle name="Normal 73 3" xfId="714" xr:uid="{00000000-0005-0000-0000-0000C9020000}"/>
    <cellStyle name="Normal 73 4" xfId="715" xr:uid="{00000000-0005-0000-0000-0000CA020000}"/>
    <cellStyle name="Normal 8" xfId="716" xr:uid="{00000000-0005-0000-0000-0000CB020000}"/>
    <cellStyle name="Normal 8 2" xfId="717" xr:uid="{00000000-0005-0000-0000-0000CC020000}"/>
    <cellStyle name="Normal 8 3" xfId="718" xr:uid="{00000000-0005-0000-0000-0000CD020000}"/>
    <cellStyle name="Normal 8 4" xfId="719" xr:uid="{00000000-0005-0000-0000-0000CE020000}"/>
    <cellStyle name="Normal 9" xfId="720" xr:uid="{00000000-0005-0000-0000-0000CF020000}"/>
    <cellStyle name="Normal 9 2" xfId="721" xr:uid="{00000000-0005-0000-0000-0000D0020000}"/>
    <cellStyle name="Normal 9 3" xfId="722" xr:uid="{00000000-0005-0000-0000-0000D1020000}"/>
    <cellStyle name="Notas 2" xfId="723" xr:uid="{00000000-0005-0000-0000-0000D2020000}"/>
    <cellStyle name="Notas 2 2" xfId="724" xr:uid="{00000000-0005-0000-0000-0000D3020000}"/>
    <cellStyle name="Notas 3" xfId="725" xr:uid="{00000000-0005-0000-0000-0000D4020000}"/>
    <cellStyle name="Note" xfId="726" xr:uid="{00000000-0005-0000-0000-0000D5020000}"/>
    <cellStyle name="Output" xfId="727" xr:uid="{00000000-0005-0000-0000-0000D6020000}"/>
    <cellStyle name="Output 2" xfId="728" xr:uid="{00000000-0005-0000-0000-0000D7020000}"/>
    <cellStyle name="Porcentaje" xfId="760" builtinId="5"/>
    <cellStyle name="Porcentaje 2" xfId="729" xr:uid="{00000000-0005-0000-0000-0000D9020000}"/>
    <cellStyle name="Porcentaje 2 2" xfId="730" xr:uid="{00000000-0005-0000-0000-0000DA020000}"/>
    <cellStyle name="Porcentaje 2 3" xfId="731" xr:uid="{00000000-0005-0000-0000-0000DB020000}"/>
    <cellStyle name="Porcentaje 3" xfId="732" xr:uid="{00000000-0005-0000-0000-0000DC020000}"/>
    <cellStyle name="Porcentaje 3 2" xfId="733" xr:uid="{00000000-0005-0000-0000-0000DD020000}"/>
    <cellStyle name="Porcentaje 3 3" xfId="734" xr:uid="{00000000-0005-0000-0000-0000DE020000}"/>
    <cellStyle name="Porcentaje 4" xfId="735" xr:uid="{00000000-0005-0000-0000-0000DF020000}"/>
    <cellStyle name="Porcentaje 4 2" xfId="736" xr:uid="{00000000-0005-0000-0000-0000E0020000}"/>
    <cellStyle name="Porcentaje 5" xfId="737" xr:uid="{00000000-0005-0000-0000-0000E1020000}"/>
    <cellStyle name="Porcentual 2" xfId="738" xr:uid="{00000000-0005-0000-0000-0000E2020000}"/>
    <cellStyle name="Porcentual 2 2" xfId="739" xr:uid="{00000000-0005-0000-0000-0000E3020000}"/>
    <cellStyle name="Porcentual 3" xfId="740" xr:uid="{00000000-0005-0000-0000-0000E4020000}"/>
    <cellStyle name="Porcentual 3 2" xfId="741" xr:uid="{00000000-0005-0000-0000-0000E5020000}"/>
    <cellStyle name="Porcentual 4" xfId="742" xr:uid="{00000000-0005-0000-0000-0000E6020000}"/>
    <cellStyle name="Porcentual 4 2" xfId="743" xr:uid="{00000000-0005-0000-0000-0000E7020000}"/>
    <cellStyle name="Porcentual 5" xfId="744" xr:uid="{00000000-0005-0000-0000-0000E8020000}"/>
    <cellStyle name="Porcentual 5 2" xfId="745" xr:uid="{00000000-0005-0000-0000-0000E9020000}"/>
    <cellStyle name="Porcentual 6" xfId="746" xr:uid="{00000000-0005-0000-0000-0000EA020000}"/>
    <cellStyle name="Porcentual 6 2" xfId="747" xr:uid="{00000000-0005-0000-0000-0000EB020000}"/>
    <cellStyle name="Salida 2" xfId="748" xr:uid="{00000000-0005-0000-0000-0000EC020000}"/>
    <cellStyle name="Sheet Title" xfId="749" xr:uid="{00000000-0005-0000-0000-0000ED020000}"/>
    <cellStyle name="Text" xfId="750" xr:uid="{00000000-0005-0000-0000-0000EE020000}"/>
    <cellStyle name="Text 2" xfId="751" xr:uid="{00000000-0005-0000-0000-0000EF020000}"/>
    <cellStyle name="Texto de advertencia 2" xfId="752" xr:uid="{00000000-0005-0000-0000-0000F0020000}"/>
    <cellStyle name="Texto explicativo 2" xfId="753" xr:uid="{00000000-0005-0000-0000-0000F1020000}"/>
    <cellStyle name="Título 1 2" xfId="754" xr:uid="{00000000-0005-0000-0000-0000F2020000}"/>
    <cellStyle name="Título 2 2" xfId="755" xr:uid="{00000000-0005-0000-0000-0000F3020000}"/>
    <cellStyle name="Título 3 2" xfId="756" xr:uid="{00000000-0005-0000-0000-0000F4020000}"/>
    <cellStyle name="Título 4" xfId="757" xr:uid="{00000000-0005-0000-0000-0000F5020000}"/>
    <cellStyle name="Total 2" xfId="758" xr:uid="{00000000-0005-0000-0000-0000F6020000}"/>
    <cellStyle name="Warning Text" xfId="759" xr:uid="{00000000-0005-0000-0000-0000F7020000}"/>
    <cellStyle name="Warning Text 2" xfId="7" xr:uid="{00000000-0005-0000-0000-0000F8020000}"/>
  </cellStyles>
  <dxfs count="0"/>
  <tableStyles count="0" defaultTableStyle="TableStyleMedium2" defaultPivotStyle="PivotStyleLight16"/>
  <colors>
    <mruColors>
      <color rgb="FF00FF99"/>
      <color rgb="FF0066CC"/>
      <color rgb="FFE4883C"/>
      <color rgb="FFFF33CC"/>
      <color rgb="FFFF0066"/>
      <color rgb="FFFF99FF"/>
      <color rgb="FFD6D34A"/>
      <color rgb="FF006600"/>
      <color rgb="FFE9987F"/>
      <color rgb="FFADA6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1319893</xdr:colOff>
      <xdr:row>1</xdr:row>
      <xdr:rowOff>13607</xdr:rowOff>
    </xdr:from>
    <xdr:to>
      <xdr:col>2</xdr:col>
      <xdr:colOff>2869293</xdr:colOff>
      <xdr:row>2</xdr:row>
      <xdr:rowOff>326572</xdr:rowOff>
    </xdr:to>
    <xdr:pic>
      <xdr:nvPicPr>
        <xdr:cNvPr id="2" name="1 Imagen" descr="https://drive.google.com/uc?id=0B84a36P26UeIUzFmeFh2TGV3ZU0&amp;export=downloa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3493" y="280307"/>
          <a:ext cx="1549400" cy="83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1619250</xdr:colOff>
      <xdr:row>1</xdr:row>
      <xdr:rowOff>1</xdr:rowOff>
    </xdr:from>
    <xdr:to>
      <xdr:col>9</xdr:col>
      <xdr:colOff>1061357</xdr:colOff>
      <xdr:row>2</xdr:row>
      <xdr:rowOff>450851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30275" y="266701"/>
          <a:ext cx="1089931" cy="97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911679</xdr:colOff>
      <xdr:row>4</xdr:row>
      <xdr:rowOff>230357</xdr:rowOff>
    </xdr:to>
    <xdr:pic>
      <xdr:nvPicPr>
        <xdr:cNvPr id="2" name="1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107"/>
          <a:ext cx="1619250" cy="1046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1345474</xdr:colOff>
      <xdr:row>0</xdr:row>
      <xdr:rowOff>0</xdr:rowOff>
    </xdr:from>
    <xdr:to>
      <xdr:col>11</xdr:col>
      <xdr:colOff>2449</xdr:colOff>
      <xdr:row>2</xdr:row>
      <xdr:rowOff>453950</xdr:rowOff>
    </xdr:to>
    <xdr:pic>
      <xdr:nvPicPr>
        <xdr:cNvPr id="2" name="1 Image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blip>
        <a:srcRect/>
        <a:stretch>
          <a:fillRect/>
        </a:stretch>
      </xdr:blipFill>
      <xdr:spPr bwMode="auto">
        <a:xfrm>
          <a:off x="17823724" y="914400"/>
          <a:ext cx="0" cy="930200"/>
        </a:xfrm>
        <a:prstGeom prst="rect">
          <a:avLst/>
        </a:prstGeom>
        <a:ln>
          <a:noFill/>
        </a:ln>
        <a:effectLst>
          <a:softEdge rad="112500"/>
        </a:effectLst>
        <a:extLst/>
      </xdr:spPr>
    </xdr:pic>
    <xdr:clientData/>
  </xdr:twoCellAnchor>
  <xdr:twoCellAnchor editAs="oneCell">
    <xdr:from>
      <xdr:col>10</xdr:col>
      <xdr:colOff>1345474</xdr:colOff>
      <xdr:row>0</xdr:row>
      <xdr:rowOff>0</xdr:rowOff>
    </xdr:from>
    <xdr:to>
      <xdr:col>11</xdr:col>
      <xdr:colOff>2449</xdr:colOff>
      <xdr:row>2</xdr:row>
      <xdr:rowOff>453950</xdr:rowOff>
    </xdr:to>
    <xdr:pic>
      <xdr:nvPicPr>
        <xdr:cNvPr id="3" name="2 Imagen">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blip>
        <a:srcRect/>
        <a:stretch>
          <a:fillRect/>
        </a:stretch>
      </xdr:blipFill>
      <xdr:spPr bwMode="auto">
        <a:xfrm>
          <a:off x="17823724" y="914400"/>
          <a:ext cx="0" cy="930200"/>
        </a:xfrm>
        <a:prstGeom prst="rect">
          <a:avLst/>
        </a:prstGeom>
        <a:ln>
          <a:noFill/>
        </a:ln>
        <a:effectLst>
          <a:softEdge rad="112500"/>
        </a:effectLs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66"/>
  </sheetPr>
  <dimension ref="A1:L348"/>
  <sheetViews>
    <sheetView topLeftCell="A331" zoomScale="70" zoomScaleNormal="70" workbookViewId="0">
      <selection activeCell="C353" sqref="C353"/>
    </sheetView>
  </sheetViews>
  <sheetFormatPr baseColWidth="10" defaultRowHeight="15"/>
  <cols>
    <col min="1" max="1" width="10.5703125" style="33" customWidth="1"/>
    <col min="2" max="2" width="21.42578125" style="33" customWidth="1"/>
    <col min="3" max="3" width="55.140625" style="255" customWidth="1"/>
    <col min="4" max="5" width="26.85546875" style="52" customWidth="1"/>
    <col min="6" max="6" width="22" style="759" customWidth="1"/>
    <col min="7" max="7" width="22.5703125" style="54" customWidth="1"/>
    <col min="8" max="8" width="21.5703125" style="54" customWidth="1"/>
    <col min="9" max="9" width="24.7109375" style="54" customWidth="1"/>
    <col min="10" max="10" width="23" style="54" customWidth="1"/>
    <col min="11" max="11" width="22.28515625" style="54" customWidth="1"/>
    <col min="12" max="12" width="23.5703125" style="54" customWidth="1"/>
    <col min="13" max="219" width="11.42578125" customWidth="1"/>
    <col min="220" max="220" width="7.85546875" customWidth="1"/>
    <col min="221" max="221" width="1.5703125" customWidth="1"/>
    <col min="222" max="222" width="56" customWidth="1"/>
    <col min="232" max="232" width="7.85546875" customWidth="1"/>
    <col min="233" max="233" width="11.42578125" customWidth="1"/>
    <col min="234" max="234" width="53" customWidth="1"/>
    <col min="235" max="235" width="18.140625" customWidth="1"/>
    <col min="236" max="236" width="18.28515625" customWidth="1"/>
    <col min="237" max="237" width="18.42578125" customWidth="1"/>
    <col min="238" max="238" width="20.5703125" customWidth="1"/>
    <col min="239" max="239" width="17.7109375" customWidth="1"/>
    <col min="240" max="240" width="20.7109375" customWidth="1"/>
    <col min="241" max="241" width="24.5703125" customWidth="1"/>
    <col min="242" max="242" width="26.140625" customWidth="1"/>
    <col min="243" max="243" width="41.5703125" customWidth="1"/>
    <col min="244" max="244" width="11.42578125" customWidth="1"/>
    <col min="245" max="245" width="47.85546875" customWidth="1"/>
    <col min="246" max="475" width="11.42578125" customWidth="1"/>
    <col min="476" max="476" width="7.85546875" customWidth="1"/>
    <col min="477" max="477" width="1.5703125" customWidth="1"/>
    <col min="478" max="478" width="56" customWidth="1"/>
    <col min="488" max="488" width="7.85546875" customWidth="1"/>
    <col min="489" max="489" width="11.42578125" customWidth="1"/>
    <col min="490" max="490" width="53" customWidth="1"/>
    <col min="491" max="491" width="18.140625" customWidth="1"/>
    <col min="492" max="492" width="18.28515625" customWidth="1"/>
    <col min="493" max="493" width="18.42578125" customWidth="1"/>
    <col min="494" max="494" width="20.5703125" customWidth="1"/>
    <col min="495" max="495" width="17.7109375" customWidth="1"/>
    <col min="496" max="496" width="20.7109375" customWidth="1"/>
    <col min="497" max="497" width="24.5703125" customWidth="1"/>
    <col min="498" max="498" width="26.140625" customWidth="1"/>
    <col min="499" max="499" width="41.5703125" customWidth="1"/>
    <col min="500" max="500" width="11.42578125" customWidth="1"/>
    <col min="501" max="501" width="47.85546875" customWidth="1"/>
    <col min="502" max="731" width="11.42578125" customWidth="1"/>
    <col min="732" max="732" width="7.85546875" customWidth="1"/>
    <col min="733" max="733" width="1.5703125" customWidth="1"/>
    <col min="734" max="734" width="56" customWidth="1"/>
    <col min="744" max="744" width="7.85546875" customWidth="1"/>
    <col min="745" max="745" width="11.42578125" customWidth="1"/>
    <col min="746" max="746" width="53" customWidth="1"/>
    <col min="747" max="747" width="18.140625" customWidth="1"/>
    <col min="748" max="748" width="18.28515625" customWidth="1"/>
    <col min="749" max="749" width="18.42578125" customWidth="1"/>
    <col min="750" max="750" width="20.5703125" customWidth="1"/>
    <col min="751" max="751" width="17.7109375" customWidth="1"/>
    <col min="752" max="752" width="20.7109375" customWidth="1"/>
    <col min="753" max="753" width="24.5703125" customWidth="1"/>
    <col min="754" max="754" width="26.140625" customWidth="1"/>
    <col min="755" max="755" width="41.5703125" customWidth="1"/>
    <col min="756" max="756" width="11.42578125" customWidth="1"/>
    <col min="757" max="757" width="47.85546875" customWidth="1"/>
    <col min="758" max="987" width="11.42578125" customWidth="1"/>
    <col min="988" max="988" width="7.85546875" customWidth="1"/>
    <col min="989" max="989" width="1.5703125" customWidth="1"/>
    <col min="990" max="990" width="56" customWidth="1"/>
    <col min="1000" max="1000" width="7.85546875" customWidth="1"/>
    <col min="1001" max="1001" width="11.42578125" customWidth="1"/>
    <col min="1002" max="1002" width="53" customWidth="1"/>
    <col min="1003" max="1003" width="18.140625" customWidth="1"/>
    <col min="1004" max="1004" width="18.28515625" customWidth="1"/>
    <col min="1005" max="1005" width="18.42578125" customWidth="1"/>
    <col min="1006" max="1006" width="20.5703125" customWidth="1"/>
    <col min="1007" max="1007" width="17.7109375" customWidth="1"/>
    <col min="1008" max="1008" width="20.7109375" customWidth="1"/>
    <col min="1009" max="1009" width="24.5703125" customWidth="1"/>
    <col min="1010" max="1010" width="26.140625" customWidth="1"/>
    <col min="1011" max="1011" width="41.5703125" customWidth="1"/>
    <col min="1012" max="1012" width="11.42578125" customWidth="1"/>
    <col min="1013" max="1013" width="47.85546875" customWidth="1"/>
    <col min="1014" max="1243" width="11.42578125" customWidth="1"/>
    <col min="1244" max="1244" width="7.85546875" customWidth="1"/>
    <col min="1245" max="1245" width="1.5703125" customWidth="1"/>
    <col min="1246" max="1246" width="56" customWidth="1"/>
    <col min="1256" max="1256" width="7.85546875" customWidth="1"/>
    <col min="1257" max="1257" width="11.42578125" customWidth="1"/>
    <col min="1258" max="1258" width="53" customWidth="1"/>
    <col min="1259" max="1259" width="18.140625" customWidth="1"/>
    <col min="1260" max="1260" width="18.28515625" customWidth="1"/>
    <col min="1261" max="1261" width="18.42578125" customWidth="1"/>
    <col min="1262" max="1262" width="20.5703125" customWidth="1"/>
    <col min="1263" max="1263" width="17.7109375" customWidth="1"/>
    <col min="1264" max="1264" width="20.7109375" customWidth="1"/>
    <col min="1265" max="1265" width="24.5703125" customWidth="1"/>
    <col min="1266" max="1266" width="26.140625" customWidth="1"/>
    <col min="1267" max="1267" width="41.5703125" customWidth="1"/>
    <col min="1268" max="1268" width="11.42578125" customWidth="1"/>
    <col min="1269" max="1269" width="47.85546875" customWidth="1"/>
    <col min="1270" max="1499" width="11.42578125" customWidth="1"/>
    <col min="1500" max="1500" width="7.85546875" customWidth="1"/>
    <col min="1501" max="1501" width="1.5703125" customWidth="1"/>
    <col min="1502" max="1502" width="56" customWidth="1"/>
    <col min="1512" max="1512" width="7.85546875" customWidth="1"/>
    <col min="1513" max="1513" width="11.42578125" customWidth="1"/>
    <col min="1514" max="1514" width="53" customWidth="1"/>
    <col min="1515" max="1515" width="18.140625" customWidth="1"/>
    <col min="1516" max="1516" width="18.28515625" customWidth="1"/>
    <col min="1517" max="1517" width="18.42578125" customWidth="1"/>
    <col min="1518" max="1518" width="20.5703125" customWidth="1"/>
    <col min="1519" max="1519" width="17.7109375" customWidth="1"/>
    <col min="1520" max="1520" width="20.7109375" customWidth="1"/>
    <col min="1521" max="1521" width="24.5703125" customWidth="1"/>
    <col min="1522" max="1522" width="26.140625" customWidth="1"/>
    <col min="1523" max="1523" width="41.5703125" customWidth="1"/>
    <col min="1524" max="1524" width="11.42578125" customWidth="1"/>
    <col min="1525" max="1525" width="47.85546875" customWidth="1"/>
    <col min="1526" max="1755" width="11.42578125" customWidth="1"/>
    <col min="1756" max="1756" width="7.85546875" customWidth="1"/>
    <col min="1757" max="1757" width="1.5703125" customWidth="1"/>
    <col min="1758" max="1758" width="56" customWidth="1"/>
    <col min="1768" max="1768" width="7.85546875" customWidth="1"/>
    <col min="1769" max="1769" width="11.42578125" customWidth="1"/>
    <col min="1770" max="1770" width="53" customWidth="1"/>
    <col min="1771" max="1771" width="18.140625" customWidth="1"/>
    <col min="1772" max="1772" width="18.28515625" customWidth="1"/>
    <col min="1773" max="1773" width="18.42578125" customWidth="1"/>
    <col min="1774" max="1774" width="20.5703125" customWidth="1"/>
    <col min="1775" max="1775" width="17.7109375" customWidth="1"/>
    <col min="1776" max="1776" width="20.7109375" customWidth="1"/>
    <col min="1777" max="1777" width="24.5703125" customWidth="1"/>
    <col min="1778" max="1778" width="26.140625" customWidth="1"/>
    <col min="1779" max="1779" width="41.5703125" customWidth="1"/>
    <col min="1780" max="1780" width="11.42578125" customWidth="1"/>
    <col min="1781" max="1781" width="47.85546875" customWidth="1"/>
    <col min="1782" max="2011" width="11.42578125" customWidth="1"/>
    <col min="2012" max="2012" width="7.85546875" customWidth="1"/>
    <col min="2013" max="2013" width="1.5703125" customWidth="1"/>
    <col min="2014" max="2014" width="56" customWidth="1"/>
    <col min="2024" max="2024" width="7.85546875" customWidth="1"/>
    <col min="2025" max="2025" width="11.42578125" customWidth="1"/>
    <col min="2026" max="2026" width="53" customWidth="1"/>
    <col min="2027" max="2027" width="18.140625" customWidth="1"/>
    <col min="2028" max="2028" width="18.28515625" customWidth="1"/>
    <col min="2029" max="2029" width="18.42578125" customWidth="1"/>
    <col min="2030" max="2030" width="20.5703125" customWidth="1"/>
    <col min="2031" max="2031" width="17.7109375" customWidth="1"/>
    <col min="2032" max="2032" width="20.7109375" customWidth="1"/>
    <col min="2033" max="2033" width="24.5703125" customWidth="1"/>
    <col min="2034" max="2034" width="26.140625" customWidth="1"/>
    <col min="2035" max="2035" width="41.5703125" customWidth="1"/>
    <col min="2036" max="2036" width="11.42578125" customWidth="1"/>
    <col min="2037" max="2037" width="47.85546875" customWidth="1"/>
    <col min="2038" max="2267" width="11.42578125" customWidth="1"/>
    <col min="2268" max="2268" width="7.85546875" customWidth="1"/>
    <col min="2269" max="2269" width="1.5703125" customWidth="1"/>
    <col min="2270" max="2270" width="56" customWidth="1"/>
    <col min="2280" max="2280" width="7.85546875" customWidth="1"/>
    <col min="2281" max="2281" width="11.42578125" customWidth="1"/>
    <col min="2282" max="2282" width="53" customWidth="1"/>
    <col min="2283" max="2283" width="18.140625" customWidth="1"/>
    <col min="2284" max="2284" width="18.28515625" customWidth="1"/>
    <col min="2285" max="2285" width="18.42578125" customWidth="1"/>
    <col min="2286" max="2286" width="20.5703125" customWidth="1"/>
    <col min="2287" max="2287" width="17.7109375" customWidth="1"/>
    <col min="2288" max="2288" width="20.7109375" customWidth="1"/>
    <col min="2289" max="2289" width="24.5703125" customWidth="1"/>
    <col min="2290" max="2290" width="26.140625" customWidth="1"/>
    <col min="2291" max="2291" width="41.5703125" customWidth="1"/>
    <col min="2292" max="2292" width="11.42578125" customWidth="1"/>
    <col min="2293" max="2293" width="47.85546875" customWidth="1"/>
    <col min="2294" max="2523" width="11.42578125" customWidth="1"/>
    <col min="2524" max="2524" width="7.85546875" customWidth="1"/>
    <col min="2525" max="2525" width="1.5703125" customWidth="1"/>
    <col min="2526" max="2526" width="56" customWidth="1"/>
    <col min="2536" max="2536" width="7.85546875" customWidth="1"/>
    <col min="2537" max="2537" width="11.42578125" customWidth="1"/>
    <col min="2538" max="2538" width="53" customWidth="1"/>
    <col min="2539" max="2539" width="18.140625" customWidth="1"/>
    <col min="2540" max="2540" width="18.28515625" customWidth="1"/>
    <col min="2541" max="2541" width="18.42578125" customWidth="1"/>
    <col min="2542" max="2542" width="20.5703125" customWidth="1"/>
    <col min="2543" max="2543" width="17.7109375" customWidth="1"/>
    <col min="2544" max="2544" width="20.7109375" customWidth="1"/>
    <col min="2545" max="2545" width="24.5703125" customWidth="1"/>
    <col min="2546" max="2546" width="26.140625" customWidth="1"/>
    <col min="2547" max="2547" width="41.5703125" customWidth="1"/>
    <col min="2548" max="2548" width="11.42578125" customWidth="1"/>
    <col min="2549" max="2549" width="47.85546875" customWidth="1"/>
    <col min="2550" max="2779" width="11.42578125" customWidth="1"/>
    <col min="2780" max="2780" width="7.85546875" customWidth="1"/>
    <col min="2781" max="2781" width="1.5703125" customWidth="1"/>
    <col min="2782" max="2782" width="56" customWidth="1"/>
    <col min="2792" max="2792" width="7.85546875" customWidth="1"/>
    <col min="2793" max="2793" width="11.42578125" customWidth="1"/>
    <col min="2794" max="2794" width="53" customWidth="1"/>
    <col min="2795" max="2795" width="18.140625" customWidth="1"/>
    <col min="2796" max="2796" width="18.28515625" customWidth="1"/>
    <col min="2797" max="2797" width="18.42578125" customWidth="1"/>
    <col min="2798" max="2798" width="20.5703125" customWidth="1"/>
    <col min="2799" max="2799" width="17.7109375" customWidth="1"/>
    <col min="2800" max="2800" width="20.7109375" customWidth="1"/>
    <col min="2801" max="2801" width="24.5703125" customWidth="1"/>
    <col min="2802" max="2802" width="26.140625" customWidth="1"/>
    <col min="2803" max="2803" width="41.5703125" customWidth="1"/>
    <col min="2804" max="2804" width="11.42578125" customWidth="1"/>
    <col min="2805" max="2805" width="47.85546875" customWidth="1"/>
    <col min="2806" max="3035" width="11.42578125" customWidth="1"/>
    <col min="3036" max="3036" width="7.85546875" customWidth="1"/>
    <col min="3037" max="3037" width="1.5703125" customWidth="1"/>
    <col min="3038" max="3038" width="56" customWidth="1"/>
    <col min="3048" max="3048" width="7.85546875" customWidth="1"/>
    <col min="3049" max="3049" width="11.42578125" customWidth="1"/>
    <col min="3050" max="3050" width="53" customWidth="1"/>
    <col min="3051" max="3051" width="18.140625" customWidth="1"/>
    <col min="3052" max="3052" width="18.28515625" customWidth="1"/>
    <col min="3053" max="3053" width="18.42578125" customWidth="1"/>
    <col min="3054" max="3054" width="20.5703125" customWidth="1"/>
    <col min="3055" max="3055" width="17.7109375" customWidth="1"/>
    <col min="3056" max="3056" width="20.7109375" customWidth="1"/>
    <col min="3057" max="3057" width="24.5703125" customWidth="1"/>
    <col min="3058" max="3058" width="26.140625" customWidth="1"/>
    <col min="3059" max="3059" width="41.5703125" customWidth="1"/>
    <col min="3060" max="3060" width="11.42578125" customWidth="1"/>
    <col min="3061" max="3061" width="47.85546875" customWidth="1"/>
    <col min="3062" max="3291" width="11.42578125" customWidth="1"/>
    <col min="3292" max="3292" width="7.85546875" customWidth="1"/>
    <col min="3293" max="3293" width="1.5703125" customWidth="1"/>
    <col min="3294" max="3294" width="56" customWidth="1"/>
    <col min="3304" max="3304" width="7.85546875" customWidth="1"/>
    <col min="3305" max="3305" width="11.42578125" customWidth="1"/>
    <col min="3306" max="3306" width="53" customWidth="1"/>
    <col min="3307" max="3307" width="18.140625" customWidth="1"/>
    <col min="3308" max="3308" width="18.28515625" customWidth="1"/>
    <col min="3309" max="3309" width="18.42578125" customWidth="1"/>
    <col min="3310" max="3310" width="20.5703125" customWidth="1"/>
    <col min="3311" max="3311" width="17.7109375" customWidth="1"/>
    <col min="3312" max="3312" width="20.7109375" customWidth="1"/>
    <col min="3313" max="3313" width="24.5703125" customWidth="1"/>
    <col min="3314" max="3314" width="26.140625" customWidth="1"/>
    <col min="3315" max="3315" width="41.5703125" customWidth="1"/>
    <col min="3316" max="3316" width="11.42578125" customWidth="1"/>
    <col min="3317" max="3317" width="47.85546875" customWidth="1"/>
    <col min="3318" max="3547" width="11.42578125" customWidth="1"/>
    <col min="3548" max="3548" width="7.85546875" customWidth="1"/>
    <col min="3549" max="3549" width="1.5703125" customWidth="1"/>
    <col min="3550" max="3550" width="56" customWidth="1"/>
    <col min="3560" max="3560" width="7.85546875" customWidth="1"/>
    <col min="3561" max="3561" width="11.42578125" customWidth="1"/>
    <col min="3562" max="3562" width="53" customWidth="1"/>
    <col min="3563" max="3563" width="18.140625" customWidth="1"/>
    <col min="3564" max="3564" width="18.28515625" customWidth="1"/>
    <col min="3565" max="3565" width="18.42578125" customWidth="1"/>
    <col min="3566" max="3566" width="20.5703125" customWidth="1"/>
    <col min="3567" max="3567" width="17.7109375" customWidth="1"/>
    <col min="3568" max="3568" width="20.7109375" customWidth="1"/>
    <col min="3569" max="3569" width="24.5703125" customWidth="1"/>
    <col min="3570" max="3570" width="26.140625" customWidth="1"/>
    <col min="3571" max="3571" width="41.5703125" customWidth="1"/>
    <col min="3572" max="3572" width="11.42578125" customWidth="1"/>
    <col min="3573" max="3573" width="47.85546875" customWidth="1"/>
    <col min="3574" max="3803" width="11.42578125" customWidth="1"/>
    <col min="3804" max="3804" width="7.85546875" customWidth="1"/>
    <col min="3805" max="3805" width="1.5703125" customWidth="1"/>
    <col min="3806" max="3806" width="56" customWidth="1"/>
    <col min="3816" max="3816" width="7.85546875" customWidth="1"/>
    <col min="3817" max="3817" width="11.42578125" customWidth="1"/>
    <col min="3818" max="3818" width="53" customWidth="1"/>
    <col min="3819" max="3819" width="18.140625" customWidth="1"/>
    <col min="3820" max="3820" width="18.28515625" customWidth="1"/>
    <col min="3821" max="3821" width="18.42578125" customWidth="1"/>
    <col min="3822" max="3822" width="20.5703125" customWidth="1"/>
    <col min="3823" max="3823" width="17.7109375" customWidth="1"/>
    <col min="3824" max="3824" width="20.7109375" customWidth="1"/>
    <col min="3825" max="3825" width="24.5703125" customWidth="1"/>
    <col min="3826" max="3826" width="26.140625" customWidth="1"/>
    <col min="3827" max="3827" width="41.5703125" customWidth="1"/>
    <col min="3828" max="3828" width="11.42578125" customWidth="1"/>
    <col min="3829" max="3829" width="47.85546875" customWidth="1"/>
    <col min="3830" max="4059" width="11.42578125" customWidth="1"/>
    <col min="4060" max="4060" width="7.85546875" customWidth="1"/>
    <col min="4061" max="4061" width="1.5703125" customWidth="1"/>
    <col min="4062" max="4062" width="56" customWidth="1"/>
    <col min="4072" max="4072" width="7.85546875" customWidth="1"/>
    <col min="4073" max="4073" width="11.42578125" customWidth="1"/>
    <col min="4074" max="4074" width="53" customWidth="1"/>
    <col min="4075" max="4075" width="18.140625" customWidth="1"/>
    <col min="4076" max="4076" width="18.28515625" customWidth="1"/>
    <col min="4077" max="4077" width="18.42578125" customWidth="1"/>
    <col min="4078" max="4078" width="20.5703125" customWidth="1"/>
    <col min="4079" max="4079" width="17.7109375" customWidth="1"/>
    <col min="4080" max="4080" width="20.7109375" customWidth="1"/>
    <col min="4081" max="4081" width="24.5703125" customWidth="1"/>
    <col min="4082" max="4082" width="26.140625" customWidth="1"/>
    <col min="4083" max="4083" width="41.5703125" customWidth="1"/>
    <col min="4084" max="4084" width="11.42578125" customWidth="1"/>
    <col min="4085" max="4085" width="47.85546875" customWidth="1"/>
    <col min="4086" max="4315" width="11.42578125" customWidth="1"/>
    <col min="4316" max="4316" width="7.85546875" customWidth="1"/>
    <col min="4317" max="4317" width="1.5703125" customWidth="1"/>
    <col min="4318" max="4318" width="56" customWidth="1"/>
    <col min="4328" max="4328" width="7.85546875" customWidth="1"/>
    <col min="4329" max="4329" width="11.42578125" customWidth="1"/>
    <col min="4330" max="4330" width="53" customWidth="1"/>
    <col min="4331" max="4331" width="18.140625" customWidth="1"/>
    <col min="4332" max="4332" width="18.28515625" customWidth="1"/>
    <col min="4333" max="4333" width="18.42578125" customWidth="1"/>
    <col min="4334" max="4334" width="20.5703125" customWidth="1"/>
    <col min="4335" max="4335" width="17.7109375" customWidth="1"/>
    <col min="4336" max="4336" width="20.7109375" customWidth="1"/>
    <col min="4337" max="4337" width="24.5703125" customWidth="1"/>
    <col min="4338" max="4338" width="26.140625" customWidth="1"/>
    <col min="4339" max="4339" width="41.5703125" customWidth="1"/>
    <col min="4340" max="4340" width="11.42578125" customWidth="1"/>
    <col min="4341" max="4341" width="47.85546875" customWidth="1"/>
    <col min="4342" max="4571" width="11.42578125" customWidth="1"/>
    <col min="4572" max="4572" width="7.85546875" customWidth="1"/>
    <col min="4573" max="4573" width="1.5703125" customWidth="1"/>
    <col min="4574" max="4574" width="56" customWidth="1"/>
    <col min="4584" max="4584" width="7.85546875" customWidth="1"/>
    <col min="4585" max="4585" width="11.42578125" customWidth="1"/>
    <col min="4586" max="4586" width="53" customWidth="1"/>
    <col min="4587" max="4587" width="18.140625" customWidth="1"/>
    <col min="4588" max="4588" width="18.28515625" customWidth="1"/>
    <col min="4589" max="4589" width="18.42578125" customWidth="1"/>
    <col min="4590" max="4590" width="20.5703125" customWidth="1"/>
    <col min="4591" max="4591" width="17.7109375" customWidth="1"/>
    <col min="4592" max="4592" width="20.7109375" customWidth="1"/>
    <col min="4593" max="4593" width="24.5703125" customWidth="1"/>
    <col min="4594" max="4594" width="26.140625" customWidth="1"/>
    <col min="4595" max="4595" width="41.5703125" customWidth="1"/>
    <col min="4596" max="4596" width="11.42578125" customWidth="1"/>
    <col min="4597" max="4597" width="47.85546875" customWidth="1"/>
    <col min="4598" max="4827" width="11.42578125" customWidth="1"/>
    <col min="4828" max="4828" width="7.85546875" customWidth="1"/>
    <col min="4829" max="4829" width="1.5703125" customWidth="1"/>
    <col min="4830" max="4830" width="56" customWidth="1"/>
    <col min="4840" max="4840" width="7.85546875" customWidth="1"/>
    <col min="4841" max="4841" width="11.42578125" customWidth="1"/>
    <col min="4842" max="4842" width="53" customWidth="1"/>
    <col min="4843" max="4843" width="18.140625" customWidth="1"/>
    <col min="4844" max="4844" width="18.28515625" customWidth="1"/>
    <col min="4845" max="4845" width="18.42578125" customWidth="1"/>
    <col min="4846" max="4846" width="20.5703125" customWidth="1"/>
    <col min="4847" max="4847" width="17.7109375" customWidth="1"/>
    <col min="4848" max="4848" width="20.7109375" customWidth="1"/>
    <col min="4849" max="4849" width="24.5703125" customWidth="1"/>
    <col min="4850" max="4850" width="26.140625" customWidth="1"/>
    <col min="4851" max="4851" width="41.5703125" customWidth="1"/>
    <col min="4852" max="4852" width="11.42578125" customWidth="1"/>
    <col min="4853" max="4853" width="47.85546875" customWidth="1"/>
    <col min="4854" max="5083" width="11.42578125" customWidth="1"/>
    <col min="5084" max="5084" width="7.85546875" customWidth="1"/>
    <col min="5085" max="5085" width="1.5703125" customWidth="1"/>
    <col min="5086" max="5086" width="56" customWidth="1"/>
    <col min="5096" max="5096" width="7.85546875" customWidth="1"/>
    <col min="5097" max="5097" width="11.42578125" customWidth="1"/>
    <col min="5098" max="5098" width="53" customWidth="1"/>
    <col min="5099" max="5099" width="18.140625" customWidth="1"/>
    <col min="5100" max="5100" width="18.28515625" customWidth="1"/>
    <col min="5101" max="5101" width="18.42578125" customWidth="1"/>
    <col min="5102" max="5102" width="20.5703125" customWidth="1"/>
    <col min="5103" max="5103" width="17.7109375" customWidth="1"/>
    <col min="5104" max="5104" width="20.7109375" customWidth="1"/>
    <col min="5105" max="5105" width="24.5703125" customWidth="1"/>
    <col min="5106" max="5106" width="26.140625" customWidth="1"/>
    <col min="5107" max="5107" width="41.5703125" customWidth="1"/>
    <col min="5108" max="5108" width="11.42578125" customWidth="1"/>
    <col min="5109" max="5109" width="47.85546875" customWidth="1"/>
    <col min="5110" max="5339" width="11.42578125" customWidth="1"/>
    <col min="5340" max="5340" width="7.85546875" customWidth="1"/>
    <col min="5341" max="5341" width="1.5703125" customWidth="1"/>
    <col min="5342" max="5342" width="56" customWidth="1"/>
    <col min="5352" max="5352" width="7.85546875" customWidth="1"/>
    <col min="5353" max="5353" width="11.42578125" customWidth="1"/>
    <col min="5354" max="5354" width="53" customWidth="1"/>
    <col min="5355" max="5355" width="18.140625" customWidth="1"/>
    <col min="5356" max="5356" width="18.28515625" customWidth="1"/>
    <col min="5357" max="5357" width="18.42578125" customWidth="1"/>
    <col min="5358" max="5358" width="20.5703125" customWidth="1"/>
    <col min="5359" max="5359" width="17.7109375" customWidth="1"/>
    <col min="5360" max="5360" width="20.7109375" customWidth="1"/>
    <col min="5361" max="5361" width="24.5703125" customWidth="1"/>
    <col min="5362" max="5362" width="26.140625" customWidth="1"/>
    <col min="5363" max="5363" width="41.5703125" customWidth="1"/>
    <col min="5364" max="5364" width="11.42578125" customWidth="1"/>
    <col min="5365" max="5365" width="47.85546875" customWidth="1"/>
    <col min="5366" max="5595" width="11.42578125" customWidth="1"/>
    <col min="5596" max="5596" width="7.85546875" customWidth="1"/>
    <col min="5597" max="5597" width="1.5703125" customWidth="1"/>
    <col min="5598" max="5598" width="56" customWidth="1"/>
    <col min="5608" max="5608" width="7.85546875" customWidth="1"/>
    <col min="5609" max="5609" width="11.42578125" customWidth="1"/>
    <col min="5610" max="5610" width="53" customWidth="1"/>
    <col min="5611" max="5611" width="18.140625" customWidth="1"/>
    <col min="5612" max="5612" width="18.28515625" customWidth="1"/>
    <col min="5613" max="5613" width="18.42578125" customWidth="1"/>
    <col min="5614" max="5614" width="20.5703125" customWidth="1"/>
    <col min="5615" max="5615" width="17.7109375" customWidth="1"/>
    <col min="5616" max="5616" width="20.7109375" customWidth="1"/>
    <col min="5617" max="5617" width="24.5703125" customWidth="1"/>
    <col min="5618" max="5618" width="26.140625" customWidth="1"/>
    <col min="5619" max="5619" width="41.5703125" customWidth="1"/>
    <col min="5620" max="5620" width="11.42578125" customWidth="1"/>
    <col min="5621" max="5621" width="47.85546875" customWidth="1"/>
    <col min="5622" max="5851" width="11.42578125" customWidth="1"/>
    <col min="5852" max="5852" width="7.85546875" customWidth="1"/>
    <col min="5853" max="5853" width="1.5703125" customWidth="1"/>
    <col min="5854" max="5854" width="56" customWidth="1"/>
    <col min="5864" max="5864" width="7.85546875" customWidth="1"/>
    <col min="5865" max="5865" width="11.42578125" customWidth="1"/>
    <col min="5866" max="5866" width="53" customWidth="1"/>
    <col min="5867" max="5867" width="18.140625" customWidth="1"/>
    <col min="5868" max="5868" width="18.28515625" customWidth="1"/>
    <col min="5869" max="5869" width="18.42578125" customWidth="1"/>
    <col min="5870" max="5870" width="20.5703125" customWidth="1"/>
    <col min="5871" max="5871" width="17.7109375" customWidth="1"/>
    <col min="5872" max="5872" width="20.7109375" customWidth="1"/>
    <col min="5873" max="5873" width="24.5703125" customWidth="1"/>
    <col min="5874" max="5874" width="26.140625" customWidth="1"/>
    <col min="5875" max="5875" width="41.5703125" customWidth="1"/>
    <col min="5876" max="5876" width="11.42578125" customWidth="1"/>
    <col min="5877" max="5877" width="47.85546875" customWidth="1"/>
    <col min="5878" max="6107" width="11.42578125" customWidth="1"/>
    <col min="6108" max="6108" width="7.85546875" customWidth="1"/>
    <col min="6109" max="6109" width="1.5703125" customWidth="1"/>
    <col min="6110" max="6110" width="56" customWidth="1"/>
    <col min="6120" max="6120" width="7.85546875" customWidth="1"/>
    <col min="6121" max="6121" width="11.42578125" customWidth="1"/>
    <col min="6122" max="6122" width="53" customWidth="1"/>
    <col min="6123" max="6123" width="18.140625" customWidth="1"/>
    <col min="6124" max="6124" width="18.28515625" customWidth="1"/>
    <col min="6125" max="6125" width="18.42578125" customWidth="1"/>
    <col min="6126" max="6126" width="20.5703125" customWidth="1"/>
    <col min="6127" max="6127" width="17.7109375" customWidth="1"/>
    <col min="6128" max="6128" width="20.7109375" customWidth="1"/>
    <col min="6129" max="6129" width="24.5703125" customWidth="1"/>
    <col min="6130" max="6130" width="26.140625" customWidth="1"/>
    <col min="6131" max="6131" width="41.5703125" customWidth="1"/>
    <col min="6132" max="6132" width="11.42578125" customWidth="1"/>
    <col min="6133" max="6133" width="47.85546875" customWidth="1"/>
    <col min="6134" max="6363" width="11.42578125" customWidth="1"/>
    <col min="6364" max="6364" width="7.85546875" customWidth="1"/>
    <col min="6365" max="6365" width="1.5703125" customWidth="1"/>
    <col min="6366" max="6366" width="56" customWidth="1"/>
    <col min="6376" max="6376" width="7.85546875" customWidth="1"/>
    <col min="6377" max="6377" width="11.42578125" customWidth="1"/>
    <col min="6378" max="6378" width="53" customWidth="1"/>
    <col min="6379" max="6379" width="18.140625" customWidth="1"/>
    <col min="6380" max="6380" width="18.28515625" customWidth="1"/>
    <col min="6381" max="6381" width="18.42578125" customWidth="1"/>
    <col min="6382" max="6382" width="20.5703125" customWidth="1"/>
    <col min="6383" max="6383" width="17.7109375" customWidth="1"/>
    <col min="6384" max="6384" width="20.7109375" customWidth="1"/>
    <col min="6385" max="6385" width="24.5703125" customWidth="1"/>
    <col min="6386" max="6386" width="26.140625" customWidth="1"/>
    <col min="6387" max="6387" width="41.5703125" customWidth="1"/>
    <col min="6388" max="6388" width="11.42578125" customWidth="1"/>
    <col min="6389" max="6389" width="47.85546875" customWidth="1"/>
    <col min="6390" max="6619" width="11.42578125" customWidth="1"/>
    <col min="6620" max="6620" width="7.85546875" customWidth="1"/>
    <col min="6621" max="6621" width="1.5703125" customWidth="1"/>
    <col min="6622" max="6622" width="56" customWidth="1"/>
    <col min="6632" max="6632" width="7.85546875" customWidth="1"/>
    <col min="6633" max="6633" width="11.42578125" customWidth="1"/>
    <col min="6634" max="6634" width="53" customWidth="1"/>
    <col min="6635" max="6635" width="18.140625" customWidth="1"/>
    <col min="6636" max="6636" width="18.28515625" customWidth="1"/>
    <col min="6637" max="6637" width="18.42578125" customWidth="1"/>
    <col min="6638" max="6638" width="20.5703125" customWidth="1"/>
    <col min="6639" max="6639" width="17.7109375" customWidth="1"/>
    <col min="6640" max="6640" width="20.7109375" customWidth="1"/>
    <col min="6641" max="6641" width="24.5703125" customWidth="1"/>
    <col min="6642" max="6642" width="26.140625" customWidth="1"/>
    <col min="6643" max="6643" width="41.5703125" customWidth="1"/>
    <col min="6644" max="6644" width="11.42578125" customWidth="1"/>
    <col min="6645" max="6645" width="47.85546875" customWidth="1"/>
    <col min="6646" max="6875" width="11.42578125" customWidth="1"/>
    <col min="6876" max="6876" width="7.85546875" customWidth="1"/>
    <col min="6877" max="6877" width="1.5703125" customWidth="1"/>
    <col min="6878" max="6878" width="56" customWidth="1"/>
    <col min="6888" max="6888" width="7.85546875" customWidth="1"/>
    <col min="6889" max="6889" width="11.42578125" customWidth="1"/>
    <col min="6890" max="6890" width="53" customWidth="1"/>
    <col min="6891" max="6891" width="18.140625" customWidth="1"/>
    <col min="6892" max="6892" width="18.28515625" customWidth="1"/>
    <col min="6893" max="6893" width="18.42578125" customWidth="1"/>
    <col min="6894" max="6894" width="20.5703125" customWidth="1"/>
    <col min="6895" max="6895" width="17.7109375" customWidth="1"/>
    <col min="6896" max="6896" width="20.7109375" customWidth="1"/>
    <col min="6897" max="6897" width="24.5703125" customWidth="1"/>
    <col min="6898" max="6898" width="26.140625" customWidth="1"/>
    <col min="6899" max="6899" width="41.5703125" customWidth="1"/>
    <col min="6900" max="6900" width="11.42578125" customWidth="1"/>
    <col min="6901" max="6901" width="47.85546875" customWidth="1"/>
    <col min="6902" max="7131" width="11.42578125" customWidth="1"/>
    <col min="7132" max="7132" width="7.85546875" customWidth="1"/>
    <col min="7133" max="7133" width="1.5703125" customWidth="1"/>
    <col min="7134" max="7134" width="56" customWidth="1"/>
    <col min="7144" max="7144" width="7.85546875" customWidth="1"/>
    <col min="7145" max="7145" width="11.42578125" customWidth="1"/>
    <col min="7146" max="7146" width="53" customWidth="1"/>
    <col min="7147" max="7147" width="18.140625" customWidth="1"/>
    <col min="7148" max="7148" width="18.28515625" customWidth="1"/>
    <col min="7149" max="7149" width="18.42578125" customWidth="1"/>
    <col min="7150" max="7150" width="20.5703125" customWidth="1"/>
    <col min="7151" max="7151" width="17.7109375" customWidth="1"/>
    <col min="7152" max="7152" width="20.7109375" customWidth="1"/>
    <col min="7153" max="7153" width="24.5703125" customWidth="1"/>
    <col min="7154" max="7154" width="26.140625" customWidth="1"/>
    <col min="7155" max="7155" width="41.5703125" customWidth="1"/>
    <col min="7156" max="7156" width="11.42578125" customWidth="1"/>
    <col min="7157" max="7157" width="47.85546875" customWidth="1"/>
    <col min="7158" max="7387" width="11.42578125" customWidth="1"/>
    <col min="7388" max="7388" width="7.85546875" customWidth="1"/>
    <col min="7389" max="7389" width="1.5703125" customWidth="1"/>
    <col min="7390" max="7390" width="56" customWidth="1"/>
    <col min="7400" max="7400" width="7.85546875" customWidth="1"/>
    <col min="7401" max="7401" width="11.42578125" customWidth="1"/>
    <col min="7402" max="7402" width="53" customWidth="1"/>
    <col min="7403" max="7403" width="18.140625" customWidth="1"/>
    <col min="7404" max="7404" width="18.28515625" customWidth="1"/>
    <col min="7405" max="7405" width="18.42578125" customWidth="1"/>
    <col min="7406" max="7406" width="20.5703125" customWidth="1"/>
    <col min="7407" max="7407" width="17.7109375" customWidth="1"/>
    <col min="7408" max="7408" width="20.7109375" customWidth="1"/>
    <col min="7409" max="7409" width="24.5703125" customWidth="1"/>
    <col min="7410" max="7410" width="26.140625" customWidth="1"/>
    <col min="7411" max="7411" width="41.5703125" customWidth="1"/>
    <col min="7412" max="7412" width="11.42578125" customWidth="1"/>
    <col min="7413" max="7413" width="47.85546875" customWidth="1"/>
    <col min="7414" max="7643" width="11.42578125" customWidth="1"/>
    <col min="7644" max="7644" width="7.85546875" customWidth="1"/>
    <col min="7645" max="7645" width="1.5703125" customWidth="1"/>
    <col min="7646" max="7646" width="56" customWidth="1"/>
    <col min="7656" max="7656" width="7.85546875" customWidth="1"/>
    <col min="7657" max="7657" width="11.42578125" customWidth="1"/>
    <col min="7658" max="7658" width="53" customWidth="1"/>
    <col min="7659" max="7659" width="18.140625" customWidth="1"/>
    <col min="7660" max="7660" width="18.28515625" customWidth="1"/>
    <col min="7661" max="7661" width="18.42578125" customWidth="1"/>
    <col min="7662" max="7662" width="20.5703125" customWidth="1"/>
    <col min="7663" max="7663" width="17.7109375" customWidth="1"/>
    <col min="7664" max="7664" width="20.7109375" customWidth="1"/>
    <col min="7665" max="7665" width="24.5703125" customWidth="1"/>
    <col min="7666" max="7666" width="26.140625" customWidth="1"/>
    <col min="7667" max="7667" width="41.5703125" customWidth="1"/>
    <col min="7668" max="7668" width="11.42578125" customWidth="1"/>
    <col min="7669" max="7669" width="47.85546875" customWidth="1"/>
    <col min="7670" max="7899" width="11.42578125" customWidth="1"/>
    <col min="7900" max="7900" width="7.85546875" customWidth="1"/>
    <col min="7901" max="7901" width="1.5703125" customWidth="1"/>
    <col min="7902" max="7902" width="56" customWidth="1"/>
    <col min="7912" max="7912" width="7.85546875" customWidth="1"/>
    <col min="7913" max="7913" width="11.42578125" customWidth="1"/>
    <col min="7914" max="7914" width="53" customWidth="1"/>
    <col min="7915" max="7915" width="18.140625" customWidth="1"/>
    <col min="7916" max="7916" width="18.28515625" customWidth="1"/>
    <col min="7917" max="7917" width="18.42578125" customWidth="1"/>
    <col min="7918" max="7918" width="20.5703125" customWidth="1"/>
    <col min="7919" max="7919" width="17.7109375" customWidth="1"/>
    <col min="7920" max="7920" width="20.7109375" customWidth="1"/>
    <col min="7921" max="7921" width="24.5703125" customWidth="1"/>
    <col min="7922" max="7922" width="26.140625" customWidth="1"/>
    <col min="7923" max="7923" width="41.5703125" customWidth="1"/>
    <col min="7924" max="7924" width="11.42578125" customWidth="1"/>
    <col min="7925" max="7925" width="47.85546875" customWidth="1"/>
    <col min="7926" max="8155" width="11.42578125" customWidth="1"/>
    <col min="8156" max="8156" width="7.85546875" customWidth="1"/>
    <col min="8157" max="8157" width="1.5703125" customWidth="1"/>
    <col min="8158" max="8158" width="56" customWidth="1"/>
    <col min="8168" max="8168" width="7.85546875" customWidth="1"/>
    <col min="8169" max="8169" width="11.42578125" customWidth="1"/>
    <col min="8170" max="8170" width="53" customWidth="1"/>
    <col min="8171" max="8171" width="18.140625" customWidth="1"/>
    <col min="8172" max="8172" width="18.28515625" customWidth="1"/>
    <col min="8173" max="8173" width="18.42578125" customWidth="1"/>
    <col min="8174" max="8174" width="20.5703125" customWidth="1"/>
    <col min="8175" max="8175" width="17.7109375" customWidth="1"/>
    <col min="8176" max="8176" width="20.7109375" customWidth="1"/>
    <col min="8177" max="8177" width="24.5703125" customWidth="1"/>
    <col min="8178" max="8178" width="26.140625" customWidth="1"/>
    <col min="8179" max="8179" width="41.5703125" customWidth="1"/>
    <col min="8180" max="8180" width="11.42578125" customWidth="1"/>
    <col min="8181" max="8181" width="47.85546875" customWidth="1"/>
    <col min="8182" max="8411" width="11.42578125" customWidth="1"/>
    <col min="8412" max="8412" width="7.85546875" customWidth="1"/>
    <col min="8413" max="8413" width="1.5703125" customWidth="1"/>
    <col min="8414" max="8414" width="56" customWidth="1"/>
    <col min="8424" max="8424" width="7.85546875" customWidth="1"/>
    <col min="8425" max="8425" width="11.42578125" customWidth="1"/>
    <col min="8426" max="8426" width="53" customWidth="1"/>
    <col min="8427" max="8427" width="18.140625" customWidth="1"/>
    <col min="8428" max="8428" width="18.28515625" customWidth="1"/>
    <col min="8429" max="8429" width="18.42578125" customWidth="1"/>
    <col min="8430" max="8430" width="20.5703125" customWidth="1"/>
    <col min="8431" max="8431" width="17.7109375" customWidth="1"/>
    <col min="8432" max="8432" width="20.7109375" customWidth="1"/>
    <col min="8433" max="8433" width="24.5703125" customWidth="1"/>
    <col min="8434" max="8434" width="26.140625" customWidth="1"/>
    <col min="8435" max="8435" width="41.5703125" customWidth="1"/>
    <col min="8436" max="8436" width="11.42578125" customWidth="1"/>
    <col min="8437" max="8437" width="47.85546875" customWidth="1"/>
    <col min="8438" max="8667" width="11.42578125" customWidth="1"/>
    <col min="8668" max="8668" width="7.85546875" customWidth="1"/>
    <col min="8669" max="8669" width="1.5703125" customWidth="1"/>
    <col min="8670" max="8670" width="56" customWidth="1"/>
    <col min="8680" max="8680" width="7.85546875" customWidth="1"/>
    <col min="8681" max="8681" width="11.42578125" customWidth="1"/>
    <col min="8682" max="8682" width="53" customWidth="1"/>
    <col min="8683" max="8683" width="18.140625" customWidth="1"/>
    <col min="8684" max="8684" width="18.28515625" customWidth="1"/>
    <col min="8685" max="8685" width="18.42578125" customWidth="1"/>
    <col min="8686" max="8686" width="20.5703125" customWidth="1"/>
    <col min="8687" max="8687" width="17.7109375" customWidth="1"/>
    <col min="8688" max="8688" width="20.7109375" customWidth="1"/>
    <col min="8689" max="8689" width="24.5703125" customWidth="1"/>
    <col min="8690" max="8690" width="26.140625" customWidth="1"/>
    <col min="8691" max="8691" width="41.5703125" customWidth="1"/>
    <col min="8692" max="8692" width="11.42578125" customWidth="1"/>
    <col min="8693" max="8693" width="47.85546875" customWidth="1"/>
    <col min="8694" max="8923" width="11.42578125" customWidth="1"/>
    <col min="8924" max="8924" width="7.85546875" customWidth="1"/>
    <col min="8925" max="8925" width="1.5703125" customWidth="1"/>
    <col min="8926" max="8926" width="56" customWidth="1"/>
    <col min="8936" max="8936" width="7.85546875" customWidth="1"/>
    <col min="8937" max="8937" width="11.42578125" customWidth="1"/>
    <col min="8938" max="8938" width="53" customWidth="1"/>
    <col min="8939" max="8939" width="18.140625" customWidth="1"/>
    <col min="8940" max="8940" width="18.28515625" customWidth="1"/>
    <col min="8941" max="8941" width="18.42578125" customWidth="1"/>
    <col min="8942" max="8942" width="20.5703125" customWidth="1"/>
    <col min="8943" max="8943" width="17.7109375" customWidth="1"/>
    <col min="8944" max="8944" width="20.7109375" customWidth="1"/>
    <col min="8945" max="8945" width="24.5703125" customWidth="1"/>
    <col min="8946" max="8946" width="26.140625" customWidth="1"/>
    <col min="8947" max="8947" width="41.5703125" customWidth="1"/>
    <col min="8948" max="8948" width="11.42578125" customWidth="1"/>
    <col min="8949" max="8949" width="47.85546875" customWidth="1"/>
    <col min="8950" max="9179" width="11.42578125" customWidth="1"/>
    <col min="9180" max="9180" width="7.85546875" customWidth="1"/>
    <col min="9181" max="9181" width="1.5703125" customWidth="1"/>
    <col min="9182" max="9182" width="56" customWidth="1"/>
    <col min="9192" max="9192" width="7.85546875" customWidth="1"/>
    <col min="9193" max="9193" width="11.42578125" customWidth="1"/>
    <col min="9194" max="9194" width="53" customWidth="1"/>
    <col min="9195" max="9195" width="18.140625" customWidth="1"/>
    <col min="9196" max="9196" width="18.28515625" customWidth="1"/>
    <col min="9197" max="9197" width="18.42578125" customWidth="1"/>
    <col min="9198" max="9198" width="20.5703125" customWidth="1"/>
    <col min="9199" max="9199" width="17.7109375" customWidth="1"/>
    <col min="9200" max="9200" width="20.7109375" customWidth="1"/>
    <col min="9201" max="9201" width="24.5703125" customWidth="1"/>
    <col min="9202" max="9202" width="26.140625" customWidth="1"/>
    <col min="9203" max="9203" width="41.5703125" customWidth="1"/>
    <col min="9204" max="9204" width="11.42578125" customWidth="1"/>
    <col min="9205" max="9205" width="47.85546875" customWidth="1"/>
    <col min="9206" max="9435" width="11.42578125" customWidth="1"/>
    <col min="9436" max="9436" width="7.85546875" customWidth="1"/>
    <col min="9437" max="9437" width="1.5703125" customWidth="1"/>
    <col min="9438" max="9438" width="56" customWidth="1"/>
    <col min="9448" max="9448" width="7.85546875" customWidth="1"/>
    <col min="9449" max="9449" width="11.42578125" customWidth="1"/>
    <col min="9450" max="9450" width="53" customWidth="1"/>
    <col min="9451" max="9451" width="18.140625" customWidth="1"/>
    <col min="9452" max="9452" width="18.28515625" customWidth="1"/>
    <col min="9453" max="9453" width="18.42578125" customWidth="1"/>
    <col min="9454" max="9454" width="20.5703125" customWidth="1"/>
    <col min="9455" max="9455" width="17.7109375" customWidth="1"/>
    <col min="9456" max="9456" width="20.7109375" customWidth="1"/>
    <col min="9457" max="9457" width="24.5703125" customWidth="1"/>
    <col min="9458" max="9458" width="26.140625" customWidth="1"/>
    <col min="9459" max="9459" width="41.5703125" customWidth="1"/>
    <col min="9460" max="9460" width="11.42578125" customWidth="1"/>
    <col min="9461" max="9461" width="47.85546875" customWidth="1"/>
    <col min="9462" max="9691" width="11.42578125" customWidth="1"/>
    <col min="9692" max="9692" width="7.85546875" customWidth="1"/>
    <col min="9693" max="9693" width="1.5703125" customWidth="1"/>
    <col min="9694" max="9694" width="56" customWidth="1"/>
    <col min="9704" max="9704" width="7.85546875" customWidth="1"/>
    <col min="9705" max="9705" width="11.42578125" customWidth="1"/>
    <col min="9706" max="9706" width="53" customWidth="1"/>
    <col min="9707" max="9707" width="18.140625" customWidth="1"/>
    <col min="9708" max="9708" width="18.28515625" customWidth="1"/>
    <col min="9709" max="9709" width="18.42578125" customWidth="1"/>
    <col min="9710" max="9710" width="20.5703125" customWidth="1"/>
    <col min="9711" max="9711" width="17.7109375" customWidth="1"/>
    <col min="9712" max="9712" width="20.7109375" customWidth="1"/>
    <col min="9713" max="9713" width="24.5703125" customWidth="1"/>
    <col min="9714" max="9714" width="26.140625" customWidth="1"/>
    <col min="9715" max="9715" width="41.5703125" customWidth="1"/>
    <col min="9716" max="9716" width="11.42578125" customWidth="1"/>
    <col min="9717" max="9717" width="47.85546875" customWidth="1"/>
    <col min="9718" max="9947" width="11.42578125" customWidth="1"/>
    <col min="9948" max="9948" width="7.85546875" customWidth="1"/>
    <col min="9949" max="9949" width="1.5703125" customWidth="1"/>
    <col min="9950" max="9950" width="56" customWidth="1"/>
    <col min="9960" max="9960" width="7.85546875" customWidth="1"/>
    <col min="9961" max="9961" width="11.42578125" customWidth="1"/>
    <col min="9962" max="9962" width="53" customWidth="1"/>
    <col min="9963" max="9963" width="18.140625" customWidth="1"/>
    <col min="9964" max="9964" width="18.28515625" customWidth="1"/>
    <col min="9965" max="9965" width="18.42578125" customWidth="1"/>
    <col min="9966" max="9966" width="20.5703125" customWidth="1"/>
    <col min="9967" max="9967" width="17.7109375" customWidth="1"/>
    <col min="9968" max="9968" width="20.7109375" customWidth="1"/>
    <col min="9969" max="9969" width="24.5703125" customWidth="1"/>
    <col min="9970" max="9970" width="26.140625" customWidth="1"/>
    <col min="9971" max="9971" width="41.5703125" customWidth="1"/>
    <col min="9972" max="9972" width="11.42578125" customWidth="1"/>
    <col min="9973" max="9973" width="47.85546875" customWidth="1"/>
    <col min="9974" max="10203" width="11.42578125" customWidth="1"/>
    <col min="10204" max="10204" width="7.85546875" customWidth="1"/>
    <col min="10205" max="10205" width="1.5703125" customWidth="1"/>
    <col min="10206" max="10206" width="56" customWidth="1"/>
    <col min="10216" max="10216" width="7.85546875" customWidth="1"/>
    <col min="10217" max="10217" width="11.42578125" customWidth="1"/>
    <col min="10218" max="10218" width="53" customWidth="1"/>
    <col min="10219" max="10219" width="18.140625" customWidth="1"/>
    <col min="10220" max="10220" width="18.28515625" customWidth="1"/>
    <col min="10221" max="10221" width="18.42578125" customWidth="1"/>
    <col min="10222" max="10222" width="20.5703125" customWidth="1"/>
    <col min="10223" max="10223" width="17.7109375" customWidth="1"/>
    <col min="10224" max="10224" width="20.7109375" customWidth="1"/>
    <col min="10225" max="10225" width="24.5703125" customWidth="1"/>
    <col min="10226" max="10226" width="26.140625" customWidth="1"/>
    <col min="10227" max="10227" width="41.5703125" customWidth="1"/>
    <col min="10228" max="10228" width="11.42578125" customWidth="1"/>
    <col min="10229" max="10229" width="47.85546875" customWidth="1"/>
    <col min="10230" max="10459" width="11.42578125" customWidth="1"/>
    <col min="10460" max="10460" width="7.85546875" customWidth="1"/>
    <col min="10461" max="10461" width="1.5703125" customWidth="1"/>
    <col min="10462" max="10462" width="56" customWidth="1"/>
    <col min="10472" max="10472" width="7.85546875" customWidth="1"/>
    <col min="10473" max="10473" width="11.42578125" customWidth="1"/>
    <col min="10474" max="10474" width="53" customWidth="1"/>
    <col min="10475" max="10475" width="18.140625" customWidth="1"/>
    <col min="10476" max="10476" width="18.28515625" customWidth="1"/>
    <col min="10477" max="10477" width="18.42578125" customWidth="1"/>
    <col min="10478" max="10478" width="20.5703125" customWidth="1"/>
    <col min="10479" max="10479" width="17.7109375" customWidth="1"/>
    <col min="10480" max="10480" width="20.7109375" customWidth="1"/>
    <col min="10481" max="10481" width="24.5703125" customWidth="1"/>
    <col min="10482" max="10482" width="26.140625" customWidth="1"/>
    <col min="10483" max="10483" width="41.5703125" customWidth="1"/>
    <col min="10484" max="10484" width="11.42578125" customWidth="1"/>
    <col min="10485" max="10485" width="47.85546875" customWidth="1"/>
    <col min="10486" max="10715" width="11.42578125" customWidth="1"/>
    <col min="10716" max="10716" width="7.85546875" customWidth="1"/>
    <col min="10717" max="10717" width="1.5703125" customWidth="1"/>
    <col min="10718" max="10718" width="56" customWidth="1"/>
    <col min="10728" max="10728" width="7.85546875" customWidth="1"/>
    <col min="10729" max="10729" width="11.42578125" customWidth="1"/>
    <col min="10730" max="10730" width="53" customWidth="1"/>
    <col min="10731" max="10731" width="18.140625" customWidth="1"/>
    <col min="10732" max="10732" width="18.28515625" customWidth="1"/>
    <col min="10733" max="10733" width="18.42578125" customWidth="1"/>
    <col min="10734" max="10734" width="20.5703125" customWidth="1"/>
    <col min="10735" max="10735" width="17.7109375" customWidth="1"/>
    <col min="10736" max="10736" width="20.7109375" customWidth="1"/>
    <col min="10737" max="10737" width="24.5703125" customWidth="1"/>
    <col min="10738" max="10738" width="26.140625" customWidth="1"/>
    <col min="10739" max="10739" width="41.5703125" customWidth="1"/>
    <col min="10740" max="10740" width="11.42578125" customWidth="1"/>
    <col min="10741" max="10741" width="47.85546875" customWidth="1"/>
    <col min="10742" max="10971" width="11.42578125" customWidth="1"/>
    <col min="10972" max="10972" width="7.85546875" customWidth="1"/>
    <col min="10973" max="10973" width="1.5703125" customWidth="1"/>
    <col min="10974" max="10974" width="56" customWidth="1"/>
    <col min="10984" max="10984" width="7.85546875" customWidth="1"/>
    <col min="10985" max="10985" width="11.42578125" customWidth="1"/>
    <col min="10986" max="10986" width="53" customWidth="1"/>
    <col min="10987" max="10987" width="18.140625" customWidth="1"/>
    <col min="10988" max="10988" width="18.28515625" customWidth="1"/>
    <col min="10989" max="10989" width="18.42578125" customWidth="1"/>
    <col min="10990" max="10990" width="20.5703125" customWidth="1"/>
    <col min="10991" max="10991" width="17.7109375" customWidth="1"/>
    <col min="10992" max="10992" width="20.7109375" customWidth="1"/>
    <col min="10993" max="10993" width="24.5703125" customWidth="1"/>
    <col min="10994" max="10994" width="26.140625" customWidth="1"/>
    <col min="10995" max="10995" width="41.5703125" customWidth="1"/>
    <col min="10996" max="10996" width="11.42578125" customWidth="1"/>
    <col min="10997" max="10997" width="47.85546875" customWidth="1"/>
    <col min="10998" max="11227" width="11.42578125" customWidth="1"/>
    <col min="11228" max="11228" width="7.85546875" customWidth="1"/>
    <col min="11229" max="11229" width="1.5703125" customWidth="1"/>
    <col min="11230" max="11230" width="56" customWidth="1"/>
    <col min="11240" max="11240" width="7.85546875" customWidth="1"/>
    <col min="11241" max="11241" width="11.42578125" customWidth="1"/>
    <col min="11242" max="11242" width="53" customWidth="1"/>
    <col min="11243" max="11243" width="18.140625" customWidth="1"/>
    <col min="11244" max="11244" width="18.28515625" customWidth="1"/>
    <col min="11245" max="11245" width="18.42578125" customWidth="1"/>
    <col min="11246" max="11246" width="20.5703125" customWidth="1"/>
    <col min="11247" max="11247" width="17.7109375" customWidth="1"/>
    <col min="11248" max="11248" width="20.7109375" customWidth="1"/>
    <col min="11249" max="11249" width="24.5703125" customWidth="1"/>
    <col min="11250" max="11250" width="26.140625" customWidth="1"/>
    <col min="11251" max="11251" width="41.5703125" customWidth="1"/>
    <col min="11252" max="11252" width="11.42578125" customWidth="1"/>
    <col min="11253" max="11253" width="47.85546875" customWidth="1"/>
    <col min="11254" max="11483" width="11.42578125" customWidth="1"/>
    <col min="11484" max="11484" width="7.85546875" customWidth="1"/>
    <col min="11485" max="11485" width="1.5703125" customWidth="1"/>
    <col min="11486" max="11486" width="56" customWidth="1"/>
    <col min="11496" max="11496" width="7.85546875" customWidth="1"/>
    <col min="11497" max="11497" width="11.42578125" customWidth="1"/>
    <col min="11498" max="11498" width="53" customWidth="1"/>
    <col min="11499" max="11499" width="18.140625" customWidth="1"/>
    <col min="11500" max="11500" width="18.28515625" customWidth="1"/>
    <col min="11501" max="11501" width="18.42578125" customWidth="1"/>
    <col min="11502" max="11502" width="20.5703125" customWidth="1"/>
    <col min="11503" max="11503" width="17.7109375" customWidth="1"/>
    <col min="11504" max="11504" width="20.7109375" customWidth="1"/>
    <col min="11505" max="11505" width="24.5703125" customWidth="1"/>
    <col min="11506" max="11506" width="26.140625" customWidth="1"/>
    <col min="11507" max="11507" width="41.5703125" customWidth="1"/>
    <col min="11508" max="11508" width="11.42578125" customWidth="1"/>
    <col min="11509" max="11509" width="47.85546875" customWidth="1"/>
    <col min="11510" max="11739" width="11.42578125" customWidth="1"/>
    <col min="11740" max="11740" width="7.85546875" customWidth="1"/>
    <col min="11741" max="11741" width="1.5703125" customWidth="1"/>
    <col min="11742" max="11742" width="56" customWidth="1"/>
    <col min="11752" max="11752" width="7.85546875" customWidth="1"/>
    <col min="11753" max="11753" width="11.42578125" customWidth="1"/>
    <col min="11754" max="11754" width="53" customWidth="1"/>
    <col min="11755" max="11755" width="18.140625" customWidth="1"/>
    <col min="11756" max="11756" width="18.28515625" customWidth="1"/>
    <col min="11757" max="11757" width="18.42578125" customWidth="1"/>
    <col min="11758" max="11758" width="20.5703125" customWidth="1"/>
    <col min="11759" max="11759" width="17.7109375" customWidth="1"/>
    <col min="11760" max="11760" width="20.7109375" customWidth="1"/>
    <col min="11761" max="11761" width="24.5703125" customWidth="1"/>
    <col min="11762" max="11762" width="26.140625" customWidth="1"/>
    <col min="11763" max="11763" width="41.5703125" customWidth="1"/>
    <col min="11764" max="11764" width="11.42578125" customWidth="1"/>
    <col min="11765" max="11765" width="47.85546875" customWidth="1"/>
    <col min="11766" max="11995" width="11.42578125" customWidth="1"/>
    <col min="11996" max="11996" width="7.85546875" customWidth="1"/>
    <col min="11997" max="11997" width="1.5703125" customWidth="1"/>
    <col min="11998" max="11998" width="56" customWidth="1"/>
    <col min="12008" max="12008" width="7.85546875" customWidth="1"/>
    <col min="12009" max="12009" width="11.42578125" customWidth="1"/>
    <col min="12010" max="12010" width="53" customWidth="1"/>
    <col min="12011" max="12011" width="18.140625" customWidth="1"/>
    <col min="12012" max="12012" width="18.28515625" customWidth="1"/>
    <col min="12013" max="12013" width="18.42578125" customWidth="1"/>
    <col min="12014" max="12014" width="20.5703125" customWidth="1"/>
    <col min="12015" max="12015" width="17.7109375" customWidth="1"/>
    <col min="12016" max="12016" width="20.7109375" customWidth="1"/>
    <col min="12017" max="12017" width="24.5703125" customWidth="1"/>
    <col min="12018" max="12018" width="26.140625" customWidth="1"/>
    <col min="12019" max="12019" width="41.5703125" customWidth="1"/>
    <col min="12020" max="12020" width="11.42578125" customWidth="1"/>
    <col min="12021" max="12021" width="47.85546875" customWidth="1"/>
    <col min="12022" max="12251" width="11.42578125" customWidth="1"/>
    <col min="12252" max="12252" width="7.85546875" customWidth="1"/>
    <col min="12253" max="12253" width="1.5703125" customWidth="1"/>
    <col min="12254" max="12254" width="56" customWidth="1"/>
    <col min="12264" max="12264" width="7.85546875" customWidth="1"/>
    <col min="12265" max="12265" width="11.42578125" customWidth="1"/>
    <col min="12266" max="12266" width="53" customWidth="1"/>
    <col min="12267" max="12267" width="18.140625" customWidth="1"/>
    <col min="12268" max="12268" width="18.28515625" customWidth="1"/>
    <col min="12269" max="12269" width="18.42578125" customWidth="1"/>
    <col min="12270" max="12270" width="20.5703125" customWidth="1"/>
    <col min="12271" max="12271" width="17.7109375" customWidth="1"/>
    <col min="12272" max="12272" width="20.7109375" customWidth="1"/>
    <col min="12273" max="12273" width="24.5703125" customWidth="1"/>
    <col min="12274" max="12274" width="26.140625" customWidth="1"/>
    <col min="12275" max="12275" width="41.5703125" customWidth="1"/>
    <col min="12276" max="12276" width="11.42578125" customWidth="1"/>
    <col min="12277" max="12277" width="47.85546875" customWidth="1"/>
    <col min="12278" max="12507" width="11.42578125" customWidth="1"/>
    <col min="12508" max="12508" width="7.85546875" customWidth="1"/>
    <col min="12509" max="12509" width="1.5703125" customWidth="1"/>
    <col min="12510" max="12510" width="56" customWidth="1"/>
    <col min="12520" max="12520" width="7.85546875" customWidth="1"/>
    <col min="12521" max="12521" width="11.42578125" customWidth="1"/>
    <col min="12522" max="12522" width="53" customWidth="1"/>
    <col min="12523" max="12523" width="18.140625" customWidth="1"/>
    <col min="12524" max="12524" width="18.28515625" customWidth="1"/>
    <col min="12525" max="12525" width="18.42578125" customWidth="1"/>
    <col min="12526" max="12526" width="20.5703125" customWidth="1"/>
    <col min="12527" max="12527" width="17.7109375" customWidth="1"/>
    <col min="12528" max="12528" width="20.7109375" customWidth="1"/>
    <col min="12529" max="12529" width="24.5703125" customWidth="1"/>
    <col min="12530" max="12530" width="26.140625" customWidth="1"/>
    <col min="12531" max="12531" width="41.5703125" customWidth="1"/>
    <col min="12532" max="12532" width="11.42578125" customWidth="1"/>
    <col min="12533" max="12533" width="47.85546875" customWidth="1"/>
    <col min="12534" max="12763" width="11.42578125" customWidth="1"/>
    <col min="12764" max="12764" width="7.85546875" customWidth="1"/>
    <col min="12765" max="12765" width="1.5703125" customWidth="1"/>
    <col min="12766" max="12766" width="56" customWidth="1"/>
    <col min="12776" max="12776" width="7.85546875" customWidth="1"/>
    <col min="12777" max="12777" width="11.42578125" customWidth="1"/>
    <col min="12778" max="12778" width="53" customWidth="1"/>
    <col min="12779" max="12779" width="18.140625" customWidth="1"/>
    <col min="12780" max="12780" width="18.28515625" customWidth="1"/>
    <col min="12781" max="12781" width="18.42578125" customWidth="1"/>
    <col min="12782" max="12782" width="20.5703125" customWidth="1"/>
    <col min="12783" max="12783" width="17.7109375" customWidth="1"/>
    <col min="12784" max="12784" width="20.7109375" customWidth="1"/>
    <col min="12785" max="12785" width="24.5703125" customWidth="1"/>
    <col min="12786" max="12786" width="26.140625" customWidth="1"/>
    <col min="12787" max="12787" width="41.5703125" customWidth="1"/>
    <col min="12788" max="12788" width="11.42578125" customWidth="1"/>
    <col min="12789" max="12789" width="47.85546875" customWidth="1"/>
    <col min="12790" max="13019" width="11.42578125" customWidth="1"/>
    <col min="13020" max="13020" width="7.85546875" customWidth="1"/>
    <col min="13021" max="13021" width="1.5703125" customWidth="1"/>
    <col min="13022" max="13022" width="56" customWidth="1"/>
    <col min="13032" max="13032" width="7.85546875" customWidth="1"/>
    <col min="13033" max="13033" width="11.42578125" customWidth="1"/>
    <col min="13034" max="13034" width="53" customWidth="1"/>
    <col min="13035" max="13035" width="18.140625" customWidth="1"/>
    <col min="13036" max="13036" width="18.28515625" customWidth="1"/>
    <col min="13037" max="13037" width="18.42578125" customWidth="1"/>
    <col min="13038" max="13038" width="20.5703125" customWidth="1"/>
    <col min="13039" max="13039" width="17.7109375" customWidth="1"/>
    <col min="13040" max="13040" width="20.7109375" customWidth="1"/>
    <col min="13041" max="13041" width="24.5703125" customWidth="1"/>
    <col min="13042" max="13042" width="26.140625" customWidth="1"/>
    <col min="13043" max="13043" width="41.5703125" customWidth="1"/>
    <col min="13044" max="13044" width="11.42578125" customWidth="1"/>
    <col min="13045" max="13045" width="47.85546875" customWidth="1"/>
    <col min="13046" max="13275" width="11.42578125" customWidth="1"/>
    <col min="13276" max="13276" width="7.85546875" customWidth="1"/>
    <col min="13277" max="13277" width="1.5703125" customWidth="1"/>
    <col min="13278" max="13278" width="56" customWidth="1"/>
    <col min="13288" max="13288" width="7.85546875" customWidth="1"/>
    <col min="13289" max="13289" width="11.42578125" customWidth="1"/>
    <col min="13290" max="13290" width="53" customWidth="1"/>
    <col min="13291" max="13291" width="18.140625" customWidth="1"/>
    <col min="13292" max="13292" width="18.28515625" customWidth="1"/>
    <col min="13293" max="13293" width="18.42578125" customWidth="1"/>
    <col min="13294" max="13294" width="20.5703125" customWidth="1"/>
    <col min="13295" max="13295" width="17.7109375" customWidth="1"/>
    <col min="13296" max="13296" width="20.7109375" customWidth="1"/>
    <col min="13297" max="13297" width="24.5703125" customWidth="1"/>
    <col min="13298" max="13298" width="26.140625" customWidth="1"/>
    <col min="13299" max="13299" width="41.5703125" customWidth="1"/>
    <col min="13300" max="13300" width="11.42578125" customWidth="1"/>
    <col min="13301" max="13301" width="47.85546875" customWidth="1"/>
    <col min="13302" max="13531" width="11.42578125" customWidth="1"/>
    <col min="13532" max="13532" width="7.85546875" customWidth="1"/>
    <col min="13533" max="13533" width="1.5703125" customWidth="1"/>
    <col min="13534" max="13534" width="56" customWidth="1"/>
    <col min="13544" max="13544" width="7.85546875" customWidth="1"/>
    <col min="13545" max="13545" width="11.42578125" customWidth="1"/>
    <col min="13546" max="13546" width="53" customWidth="1"/>
    <col min="13547" max="13547" width="18.140625" customWidth="1"/>
    <col min="13548" max="13548" width="18.28515625" customWidth="1"/>
    <col min="13549" max="13549" width="18.42578125" customWidth="1"/>
    <col min="13550" max="13550" width="20.5703125" customWidth="1"/>
    <col min="13551" max="13551" width="17.7109375" customWidth="1"/>
    <col min="13552" max="13552" width="20.7109375" customWidth="1"/>
    <col min="13553" max="13553" width="24.5703125" customWidth="1"/>
    <col min="13554" max="13554" width="26.140625" customWidth="1"/>
    <col min="13555" max="13555" width="41.5703125" customWidth="1"/>
    <col min="13556" max="13556" width="11.42578125" customWidth="1"/>
    <col min="13557" max="13557" width="47.85546875" customWidth="1"/>
    <col min="13558" max="13787" width="11.42578125" customWidth="1"/>
    <col min="13788" max="13788" width="7.85546875" customWidth="1"/>
    <col min="13789" max="13789" width="1.5703125" customWidth="1"/>
    <col min="13790" max="13790" width="56" customWidth="1"/>
    <col min="13800" max="13800" width="7.85546875" customWidth="1"/>
    <col min="13801" max="13801" width="11.42578125" customWidth="1"/>
    <col min="13802" max="13802" width="53" customWidth="1"/>
    <col min="13803" max="13803" width="18.140625" customWidth="1"/>
    <col min="13804" max="13804" width="18.28515625" customWidth="1"/>
    <col min="13805" max="13805" width="18.42578125" customWidth="1"/>
    <col min="13806" max="13806" width="20.5703125" customWidth="1"/>
    <col min="13807" max="13807" width="17.7109375" customWidth="1"/>
    <col min="13808" max="13808" width="20.7109375" customWidth="1"/>
    <col min="13809" max="13809" width="24.5703125" customWidth="1"/>
    <col min="13810" max="13810" width="26.140625" customWidth="1"/>
    <col min="13811" max="13811" width="41.5703125" customWidth="1"/>
    <col min="13812" max="13812" width="11.42578125" customWidth="1"/>
    <col min="13813" max="13813" width="47.85546875" customWidth="1"/>
    <col min="13814" max="14043" width="11.42578125" customWidth="1"/>
    <col min="14044" max="14044" width="7.85546875" customWidth="1"/>
    <col min="14045" max="14045" width="1.5703125" customWidth="1"/>
    <col min="14046" max="14046" width="56" customWidth="1"/>
    <col min="14056" max="14056" width="7.85546875" customWidth="1"/>
    <col min="14057" max="14057" width="11.42578125" customWidth="1"/>
    <col min="14058" max="14058" width="53" customWidth="1"/>
    <col min="14059" max="14059" width="18.140625" customWidth="1"/>
    <col min="14060" max="14060" width="18.28515625" customWidth="1"/>
    <col min="14061" max="14061" width="18.42578125" customWidth="1"/>
    <col min="14062" max="14062" width="20.5703125" customWidth="1"/>
    <col min="14063" max="14063" width="17.7109375" customWidth="1"/>
    <col min="14064" max="14064" width="20.7109375" customWidth="1"/>
    <col min="14065" max="14065" width="24.5703125" customWidth="1"/>
    <col min="14066" max="14066" width="26.140625" customWidth="1"/>
    <col min="14067" max="14067" width="41.5703125" customWidth="1"/>
    <col min="14068" max="14068" width="11.42578125" customWidth="1"/>
    <col min="14069" max="14069" width="47.85546875" customWidth="1"/>
    <col min="14070" max="14299" width="11.42578125" customWidth="1"/>
    <col min="14300" max="14300" width="7.85546875" customWidth="1"/>
    <col min="14301" max="14301" width="1.5703125" customWidth="1"/>
    <col min="14302" max="14302" width="56" customWidth="1"/>
    <col min="14312" max="14312" width="7.85546875" customWidth="1"/>
    <col min="14313" max="14313" width="11.42578125" customWidth="1"/>
    <col min="14314" max="14314" width="53" customWidth="1"/>
    <col min="14315" max="14315" width="18.140625" customWidth="1"/>
    <col min="14316" max="14316" width="18.28515625" customWidth="1"/>
    <col min="14317" max="14317" width="18.42578125" customWidth="1"/>
    <col min="14318" max="14318" width="20.5703125" customWidth="1"/>
    <col min="14319" max="14319" width="17.7109375" customWidth="1"/>
    <col min="14320" max="14320" width="20.7109375" customWidth="1"/>
    <col min="14321" max="14321" width="24.5703125" customWidth="1"/>
    <col min="14322" max="14322" width="26.140625" customWidth="1"/>
    <col min="14323" max="14323" width="41.5703125" customWidth="1"/>
    <col min="14324" max="14324" width="11.42578125" customWidth="1"/>
    <col min="14325" max="14325" width="47.85546875" customWidth="1"/>
    <col min="14326" max="14555" width="11.42578125" customWidth="1"/>
    <col min="14556" max="14556" width="7.85546875" customWidth="1"/>
    <col min="14557" max="14557" width="1.5703125" customWidth="1"/>
    <col min="14558" max="14558" width="56" customWidth="1"/>
    <col min="14568" max="14568" width="7.85546875" customWidth="1"/>
    <col min="14569" max="14569" width="11.42578125" customWidth="1"/>
    <col min="14570" max="14570" width="53" customWidth="1"/>
    <col min="14571" max="14571" width="18.140625" customWidth="1"/>
    <col min="14572" max="14572" width="18.28515625" customWidth="1"/>
    <col min="14573" max="14573" width="18.42578125" customWidth="1"/>
    <col min="14574" max="14574" width="20.5703125" customWidth="1"/>
    <col min="14575" max="14575" width="17.7109375" customWidth="1"/>
    <col min="14576" max="14576" width="20.7109375" customWidth="1"/>
    <col min="14577" max="14577" width="24.5703125" customWidth="1"/>
    <col min="14578" max="14578" width="26.140625" customWidth="1"/>
    <col min="14579" max="14579" width="41.5703125" customWidth="1"/>
    <col min="14580" max="14580" width="11.42578125" customWidth="1"/>
    <col min="14581" max="14581" width="47.85546875" customWidth="1"/>
    <col min="14582" max="14811" width="11.42578125" customWidth="1"/>
    <col min="14812" max="14812" width="7.85546875" customWidth="1"/>
    <col min="14813" max="14813" width="1.5703125" customWidth="1"/>
    <col min="14814" max="14814" width="56" customWidth="1"/>
    <col min="14824" max="14824" width="7.85546875" customWidth="1"/>
    <col min="14825" max="14825" width="11.42578125" customWidth="1"/>
    <col min="14826" max="14826" width="53" customWidth="1"/>
    <col min="14827" max="14827" width="18.140625" customWidth="1"/>
    <col min="14828" max="14828" width="18.28515625" customWidth="1"/>
    <col min="14829" max="14829" width="18.42578125" customWidth="1"/>
    <col min="14830" max="14830" width="20.5703125" customWidth="1"/>
    <col min="14831" max="14831" width="17.7109375" customWidth="1"/>
    <col min="14832" max="14832" width="20.7109375" customWidth="1"/>
    <col min="14833" max="14833" width="24.5703125" customWidth="1"/>
    <col min="14834" max="14834" width="26.140625" customWidth="1"/>
    <col min="14835" max="14835" width="41.5703125" customWidth="1"/>
    <col min="14836" max="14836" width="11.42578125" customWidth="1"/>
    <col min="14837" max="14837" width="47.85546875" customWidth="1"/>
    <col min="14838" max="15067" width="11.42578125" customWidth="1"/>
    <col min="15068" max="15068" width="7.85546875" customWidth="1"/>
    <col min="15069" max="15069" width="1.5703125" customWidth="1"/>
    <col min="15070" max="15070" width="56" customWidth="1"/>
    <col min="15080" max="15080" width="7.85546875" customWidth="1"/>
    <col min="15081" max="15081" width="11.42578125" customWidth="1"/>
    <col min="15082" max="15082" width="53" customWidth="1"/>
    <col min="15083" max="15083" width="18.140625" customWidth="1"/>
    <col min="15084" max="15084" width="18.28515625" customWidth="1"/>
    <col min="15085" max="15085" width="18.42578125" customWidth="1"/>
    <col min="15086" max="15086" width="20.5703125" customWidth="1"/>
    <col min="15087" max="15087" width="17.7109375" customWidth="1"/>
    <col min="15088" max="15088" width="20.7109375" customWidth="1"/>
    <col min="15089" max="15089" width="24.5703125" customWidth="1"/>
    <col min="15090" max="15090" width="26.140625" customWidth="1"/>
    <col min="15091" max="15091" width="41.5703125" customWidth="1"/>
    <col min="15092" max="15092" width="11.42578125" customWidth="1"/>
    <col min="15093" max="15093" width="47.85546875" customWidth="1"/>
    <col min="15094" max="15323" width="11.42578125" customWidth="1"/>
    <col min="15324" max="15324" width="7.85546875" customWidth="1"/>
    <col min="15325" max="15325" width="1.5703125" customWidth="1"/>
    <col min="15326" max="15326" width="56" customWidth="1"/>
    <col min="15336" max="15336" width="7.85546875" customWidth="1"/>
    <col min="15337" max="15337" width="11.42578125" customWidth="1"/>
    <col min="15338" max="15338" width="53" customWidth="1"/>
    <col min="15339" max="15339" width="18.140625" customWidth="1"/>
    <col min="15340" max="15340" width="18.28515625" customWidth="1"/>
    <col min="15341" max="15341" width="18.42578125" customWidth="1"/>
    <col min="15342" max="15342" width="20.5703125" customWidth="1"/>
    <col min="15343" max="15343" width="17.7109375" customWidth="1"/>
    <col min="15344" max="15344" width="20.7109375" customWidth="1"/>
    <col min="15345" max="15345" width="24.5703125" customWidth="1"/>
    <col min="15346" max="15346" width="26.140625" customWidth="1"/>
    <col min="15347" max="15347" width="41.5703125" customWidth="1"/>
    <col min="15348" max="15348" width="11.42578125" customWidth="1"/>
    <col min="15349" max="15349" width="47.85546875" customWidth="1"/>
    <col min="15350" max="15579" width="11.42578125" customWidth="1"/>
    <col min="15580" max="15580" width="7.85546875" customWidth="1"/>
    <col min="15581" max="15581" width="1.5703125" customWidth="1"/>
    <col min="15582" max="15582" width="56" customWidth="1"/>
    <col min="15592" max="15592" width="7.85546875" customWidth="1"/>
    <col min="15593" max="15593" width="11.42578125" customWidth="1"/>
    <col min="15594" max="15594" width="53" customWidth="1"/>
    <col min="15595" max="15595" width="18.140625" customWidth="1"/>
    <col min="15596" max="15596" width="18.28515625" customWidth="1"/>
    <col min="15597" max="15597" width="18.42578125" customWidth="1"/>
    <col min="15598" max="15598" width="20.5703125" customWidth="1"/>
    <col min="15599" max="15599" width="17.7109375" customWidth="1"/>
    <col min="15600" max="15600" width="20.7109375" customWidth="1"/>
    <col min="15601" max="15601" width="24.5703125" customWidth="1"/>
    <col min="15602" max="15602" width="26.140625" customWidth="1"/>
    <col min="15603" max="15603" width="41.5703125" customWidth="1"/>
    <col min="15604" max="15604" width="11.42578125" customWidth="1"/>
    <col min="15605" max="15605" width="47.85546875" customWidth="1"/>
    <col min="15606" max="15835" width="11.42578125" customWidth="1"/>
    <col min="15836" max="15836" width="7.85546875" customWidth="1"/>
    <col min="15837" max="15837" width="1.5703125" customWidth="1"/>
    <col min="15838" max="15838" width="56" customWidth="1"/>
    <col min="15848" max="15848" width="7.85546875" customWidth="1"/>
    <col min="15849" max="15849" width="11.42578125" customWidth="1"/>
    <col min="15850" max="15850" width="53" customWidth="1"/>
    <col min="15851" max="15851" width="18.140625" customWidth="1"/>
    <col min="15852" max="15852" width="18.28515625" customWidth="1"/>
    <col min="15853" max="15853" width="18.42578125" customWidth="1"/>
    <col min="15854" max="15854" width="20.5703125" customWidth="1"/>
    <col min="15855" max="15855" width="17.7109375" customWidth="1"/>
    <col min="15856" max="15856" width="20.7109375" customWidth="1"/>
    <col min="15857" max="15857" width="24.5703125" customWidth="1"/>
    <col min="15858" max="15858" width="26.140625" customWidth="1"/>
    <col min="15859" max="15859" width="41.5703125" customWidth="1"/>
    <col min="15860" max="15860" width="11.42578125" customWidth="1"/>
    <col min="15861" max="15861" width="47.85546875" customWidth="1"/>
    <col min="15862" max="16091" width="11.42578125" customWidth="1"/>
    <col min="16092" max="16092" width="7.85546875" customWidth="1"/>
    <col min="16093" max="16093" width="1.5703125" customWidth="1"/>
    <col min="16094" max="16094" width="56" customWidth="1"/>
    <col min="16104" max="16104" width="7.85546875" customWidth="1"/>
    <col min="16105" max="16105" width="11.42578125" customWidth="1"/>
    <col min="16106" max="16106" width="53" customWidth="1"/>
    <col min="16107" max="16107" width="18.140625" customWidth="1"/>
    <col min="16108" max="16108" width="18.28515625" customWidth="1"/>
    <col min="16109" max="16109" width="18.42578125" customWidth="1"/>
    <col min="16110" max="16110" width="20.5703125" customWidth="1"/>
    <col min="16111" max="16111" width="17.7109375" customWidth="1"/>
    <col min="16112" max="16112" width="20.7109375" customWidth="1"/>
    <col min="16113" max="16113" width="24.5703125" customWidth="1"/>
    <col min="16114" max="16114" width="26.140625" customWidth="1"/>
    <col min="16115" max="16115" width="41.5703125" customWidth="1"/>
    <col min="16116" max="16116" width="11.42578125" customWidth="1"/>
    <col min="16117" max="16117" width="47.85546875" customWidth="1"/>
    <col min="16118" max="16347" width="11.42578125" customWidth="1"/>
    <col min="16348" max="16348" width="7.85546875" customWidth="1"/>
    <col min="16349" max="16384" width="1.5703125" customWidth="1"/>
  </cols>
  <sheetData>
    <row r="1" spans="1:12" ht="21" thickBot="1">
      <c r="A1" s="316"/>
      <c r="B1" s="316"/>
      <c r="C1" s="316" t="s">
        <v>29</v>
      </c>
      <c r="D1" s="316"/>
      <c r="E1" s="316"/>
      <c r="F1" s="732"/>
      <c r="G1" s="316"/>
      <c r="H1" s="316"/>
      <c r="I1" s="316"/>
      <c r="J1" s="316"/>
      <c r="K1" s="316"/>
      <c r="L1" s="513"/>
    </row>
    <row r="2" spans="1:12" ht="41.25">
      <c r="A2" s="997" t="s">
        <v>0</v>
      </c>
      <c r="B2" s="997"/>
      <c r="C2" s="997"/>
      <c r="D2" s="997"/>
      <c r="E2" s="997"/>
      <c r="F2" s="997"/>
      <c r="G2" s="997"/>
      <c r="H2" s="997"/>
      <c r="I2" s="997"/>
      <c r="J2" s="997"/>
      <c r="K2" s="997"/>
      <c r="L2" s="997"/>
    </row>
    <row r="3" spans="1:12" ht="41.25">
      <c r="A3" s="997" t="s">
        <v>1558</v>
      </c>
      <c r="B3" s="997"/>
      <c r="C3" s="997"/>
      <c r="D3" s="997"/>
      <c r="E3" s="997"/>
      <c r="F3" s="997"/>
      <c r="G3" s="997"/>
      <c r="H3" s="997"/>
      <c r="I3" s="997"/>
      <c r="J3" s="997"/>
      <c r="K3" s="997"/>
      <c r="L3" s="997"/>
    </row>
    <row r="4" spans="1:12" ht="16.5" thickBot="1">
      <c r="A4" s="12"/>
      <c r="B4" s="12"/>
      <c r="C4" s="248"/>
      <c r="D4" s="4"/>
      <c r="E4" s="4"/>
      <c r="F4" s="735"/>
      <c r="G4" s="5"/>
      <c r="H4" s="5"/>
      <c r="I4" s="5"/>
      <c r="J4" s="6"/>
      <c r="K4" s="6"/>
      <c r="L4" s="13"/>
    </row>
    <row r="5" spans="1:12" ht="48" thickBot="1">
      <c r="A5" s="14" t="s">
        <v>1</v>
      </c>
      <c r="B5" s="14"/>
      <c r="C5" s="15" t="s">
        <v>2</v>
      </c>
      <c r="D5" s="16" t="s">
        <v>29</v>
      </c>
      <c r="E5" s="16"/>
      <c r="F5" s="16" t="s">
        <v>1456</v>
      </c>
      <c r="G5" s="17" t="s">
        <v>87</v>
      </c>
      <c r="H5" s="17" t="s">
        <v>86</v>
      </c>
      <c r="I5" s="17" t="s">
        <v>3</v>
      </c>
      <c r="J5" s="17" t="s">
        <v>4</v>
      </c>
      <c r="K5" s="17" t="s">
        <v>5</v>
      </c>
      <c r="L5" s="18" t="s">
        <v>6</v>
      </c>
    </row>
    <row r="6" spans="1:12" ht="15.75">
      <c r="A6" s="227"/>
      <c r="B6" s="227"/>
      <c r="C6" s="228"/>
      <c r="D6" s="228"/>
      <c r="E6" s="228"/>
      <c r="F6" s="592"/>
      <c r="G6" s="229"/>
      <c r="H6" s="229"/>
      <c r="I6" s="229"/>
      <c r="J6" s="229"/>
      <c r="K6" s="229"/>
      <c r="L6" s="229"/>
    </row>
    <row r="7" spans="1:12" ht="37.5">
      <c r="A7" s="96"/>
      <c r="B7" s="271"/>
      <c r="C7" s="102" t="s">
        <v>7</v>
      </c>
      <c r="D7" s="97"/>
      <c r="E7" s="97"/>
      <c r="F7" s="272"/>
      <c r="G7" s="107">
        <f>SUM(G8:G12)</f>
        <v>2629061.35</v>
      </c>
      <c r="H7" s="107">
        <f t="shared" ref="H7:K7" si="0">SUM(H8)</f>
        <v>0</v>
      </c>
      <c r="I7" s="107">
        <f t="shared" si="0"/>
        <v>0</v>
      </c>
      <c r="J7" s="107">
        <f t="shared" si="0"/>
        <v>0</v>
      </c>
      <c r="K7" s="107">
        <f t="shared" si="0"/>
        <v>0</v>
      </c>
      <c r="L7" s="107">
        <f t="shared" ref="L7:L12" si="1">SUM(G7:K7)</f>
        <v>2629061.35</v>
      </c>
    </row>
    <row r="8" spans="1:12" ht="56.25" customHeight="1">
      <c r="A8" s="76">
        <v>1</v>
      </c>
      <c r="B8" s="854"/>
      <c r="C8" s="855" t="s">
        <v>680</v>
      </c>
      <c r="D8" s="855" t="s">
        <v>681</v>
      </c>
      <c r="E8" s="856"/>
      <c r="F8" s="856"/>
      <c r="G8" s="265">
        <f>3000000-498147.29-344061.01-814551.56-893867.44-449372.7</f>
        <v>0</v>
      </c>
      <c r="H8" s="265">
        <v>0</v>
      </c>
      <c r="I8" s="265">
        <v>0</v>
      </c>
      <c r="J8" s="265">
        <v>0</v>
      </c>
      <c r="K8" s="265">
        <v>0</v>
      </c>
      <c r="L8" s="265">
        <f t="shared" si="1"/>
        <v>0</v>
      </c>
    </row>
    <row r="9" spans="1:12" ht="56.25">
      <c r="A9" s="76">
        <v>1.1000000000000001</v>
      </c>
      <c r="B9" s="857" t="s">
        <v>960</v>
      </c>
      <c r="C9" s="855" t="s">
        <v>975</v>
      </c>
      <c r="D9" s="85" t="s">
        <v>692</v>
      </c>
      <c r="E9" s="966">
        <v>1</v>
      </c>
      <c r="F9" s="858" t="s">
        <v>1457</v>
      </c>
      <c r="G9" s="480">
        <f>893867.44+50000</f>
        <v>943867.44</v>
      </c>
      <c r="H9" s="265">
        <v>0</v>
      </c>
      <c r="I9" s="265">
        <v>0</v>
      </c>
      <c r="J9" s="265">
        <v>0</v>
      </c>
      <c r="K9" s="265">
        <v>0</v>
      </c>
      <c r="L9" s="265">
        <f>SUM(G9:K9)</f>
        <v>943867.44</v>
      </c>
    </row>
    <row r="10" spans="1:12" ht="56.25">
      <c r="A10" s="76">
        <v>1.2</v>
      </c>
      <c r="B10" s="857" t="s">
        <v>961</v>
      </c>
      <c r="C10" s="855" t="s">
        <v>976</v>
      </c>
      <c r="D10" s="85" t="s">
        <v>977</v>
      </c>
      <c r="E10" s="966">
        <v>1</v>
      </c>
      <c r="F10" s="856"/>
      <c r="G10" s="265">
        <v>498147.29</v>
      </c>
      <c r="H10" s="265">
        <v>0</v>
      </c>
      <c r="I10" s="265">
        <v>0</v>
      </c>
      <c r="J10" s="265">
        <v>0</v>
      </c>
      <c r="K10" s="265">
        <v>0</v>
      </c>
      <c r="L10" s="265">
        <f t="shared" si="1"/>
        <v>498147.29</v>
      </c>
    </row>
    <row r="11" spans="1:12" ht="37.5">
      <c r="A11" s="76">
        <v>1.3</v>
      </c>
      <c r="B11" s="857" t="s">
        <v>959</v>
      </c>
      <c r="C11" s="855" t="s">
        <v>978</v>
      </c>
      <c r="D11" s="85" t="s">
        <v>979</v>
      </c>
      <c r="E11" s="967">
        <v>1</v>
      </c>
      <c r="F11" s="853"/>
      <c r="G11" s="480">
        <v>814551.56</v>
      </c>
      <c r="H11" s="265">
        <v>0</v>
      </c>
      <c r="I11" s="265">
        <v>0</v>
      </c>
      <c r="J11" s="265">
        <v>0</v>
      </c>
      <c r="K11" s="265">
        <v>0</v>
      </c>
      <c r="L11" s="265">
        <f>SUM(G11:K11)</f>
        <v>814551.56</v>
      </c>
    </row>
    <row r="12" spans="1:12" ht="56.25">
      <c r="A12" s="70">
        <v>1.4</v>
      </c>
      <c r="B12" s="857" t="s">
        <v>962</v>
      </c>
      <c r="C12" s="85" t="s">
        <v>980</v>
      </c>
      <c r="D12" s="85" t="s">
        <v>693</v>
      </c>
      <c r="E12" s="967">
        <v>1</v>
      </c>
      <c r="F12" s="859"/>
      <c r="G12" s="480">
        <f>344061.01+28434.05</f>
        <v>372495.06</v>
      </c>
      <c r="H12" s="480">
        <v>0</v>
      </c>
      <c r="I12" s="480">
        <v>0</v>
      </c>
      <c r="J12" s="480">
        <v>0</v>
      </c>
      <c r="K12" s="480">
        <v>0</v>
      </c>
      <c r="L12" s="480">
        <f t="shared" si="1"/>
        <v>372495.06</v>
      </c>
    </row>
    <row r="13" spans="1:12" ht="18.75">
      <c r="A13" s="76"/>
      <c r="B13" s="854"/>
      <c r="C13" s="85"/>
      <c r="D13" s="85"/>
      <c r="E13" s="85"/>
      <c r="F13" s="853"/>
      <c r="G13" s="480"/>
      <c r="H13" s="265"/>
      <c r="I13" s="265"/>
      <c r="J13" s="265"/>
      <c r="K13" s="265"/>
      <c r="L13" s="265"/>
    </row>
    <row r="14" spans="1:12" ht="19.5" thickBot="1">
      <c r="A14" s="860"/>
      <c r="B14" s="860"/>
      <c r="C14" s="861" t="s">
        <v>6</v>
      </c>
      <c r="D14" s="862"/>
      <c r="E14" s="862"/>
      <c r="F14" s="863"/>
      <c r="G14" s="864">
        <f t="shared" ref="G14:L14" si="2">SUM(G8:G13)</f>
        <v>2629061.35</v>
      </c>
      <c r="H14" s="897">
        <v>0</v>
      </c>
      <c r="I14" s="897">
        <v>0</v>
      </c>
      <c r="J14" s="897">
        <v>0</v>
      </c>
      <c r="K14" s="897">
        <v>0</v>
      </c>
      <c r="L14" s="864">
        <f t="shared" si="2"/>
        <v>2629061.35</v>
      </c>
    </row>
    <row r="15" spans="1:12" ht="15.75">
      <c r="A15" s="24"/>
      <c r="B15" s="227"/>
      <c r="C15" s="26"/>
      <c r="D15" s="26"/>
      <c r="E15" s="26"/>
      <c r="F15" s="592"/>
      <c r="G15" s="27"/>
      <c r="H15" s="27"/>
      <c r="I15" s="27"/>
      <c r="J15" s="27"/>
      <c r="K15" s="27"/>
      <c r="L15" s="28"/>
    </row>
    <row r="16" spans="1:12" ht="37.5">
      <c r="A16" s="96"/>
      <c r="B16" s="271"/>
      <c r="C16" s="102" t="s">
        <v>8</v>
      </c>
      <c r="D16" s="97"/>
      <c r="E16" s="97"/>
      <c r="F16" s="272"/>
      <c r="G16" s="107">
        <f>SUM(G17:G19)</f>
        <v>0</v>
      </c>
      <c r="H16" s="107">
        <f>SUM(H17:H19)</f>
        <v>10432115.390000001</v>
      </c>
      <c r="I16" s="107">
        <f>SUM(I17:I19)</f>
        <v>500000</v>
      </c>
      <c r="J16" s="107">
        <f>SUM(J17:J19)</f>
        <v>0</v>
      </c>
      <c r="K16" s="107">
        <f>SUM(K17:K19)</f>
        <v>0</v>
      </c>
      <c r="L16" s="107">
        <f>SUM(G16:K16)</f>
        <v>10932115.390000001</v>
      </c>
    </row>
    <row r="17" spans="1:12" ht="56.25">
      <c r="A17" s="865">
        <v>1</v>
      </c>
      <c r="B17" s="857" t="s">
        <v>860</v>
      </c>
      <c r="C17" s="855" t="s">
        <v>78</v>
      </c>
      <c r="D17" s="855"/>
      <c r="E17" s="968">
        <v>1</v>
      </c>
      <c r="F17" s="866"/>
      <c r="G17" s="867">
        <v>0</v>
      </c>
      <c r="H17" s="480">
        <v>0</v>
      </c>
      <c r="I17" s="335">
        <v>500000</v>
      </c>
      <c r="J17" s="335">
        <v>0</v>
      </c>
      <c r="K17" s="335">
        <v>0</v>
      </c>
      <c r="L17" s="265">
        <f>SUM(G17:K17)</f>
        <v>500000</v>
      </c>
    </row>
    <row r="18" spans="1:12" ht="93.75">
      <c r="A18" s="868">
        <v>2</v>
      </c>
      <c r="B18" s="857" t="s">
        <v>1103</v>
      </c>
      <c r="C18" s="855" t="s">
        <v>981</v>
      </c>
      <c r="D18" s="855" t="s">
        <v>682</v>
      </c>
      <c r="E18" s="969">
        <v>0.33639999999999998</v>
      </c>
      <c r="F18" s="858" t="s">
        <v>1533</v>
      </c>
      <c r="G18" s="869">
        <v>0</v>
      </c>
      <c r="H18" s="334">
        <f>13760750.67-1874.03-3820639.7</f>
        <v>9938236.9400000013</v>
      </c>
      <c r="I18" s="334">
        <v>0</v>
      </c>
      <c r="J18" s="334">
        <v>0</v>
      </c>
      <c r="K18" s="334">
        <v>0</v>
      </c>
      <c r="L18" s="334">
        <f t="shared" ref="L18:L19" si="3">SUM(G18:K18)</f>
        <v>9938236.9400000013</v>
      </c>
    </row>
    <row r="19" spans="1:12" ht="37.5">
      <c r="A19" s="870">
        <v>3</v>
      </c>
      <c r="B19" s="89" t="s">
        <v>851</v>
      </c>
      <c r="C19" s="85" t="s">
        <v>1535</v>
      </c>
      <c r="D19" s="337"/>
      <c r="E19" s="969">
        <v>0.82110000000000005</v>
      </c>
      <c r="F19" s="856"/>
      <c r="G19" s="871">
        <v>0</v>
      </c>
      <c r="H19" s="265">
        <v>493878.45</v>
      </c>
      <c r="I19" s="265">
        <v>0</v>
      </c>
      <c r="J19" s="265">
        <v>0</v>
      </c>
      <c r="K19" s="265">
        <v>0</v>
      </c>
      <c r="L19" s="480">
        <f t="shared" si="3"/>
        <v>493878.45</v>
      </c>
    </row>
    <row r="20" spans="1:12" ht="19.5" thickBot="1">
      <c r="A20" s="860"/>
      <c r="B20" s="872"/>
      <c r="C20" s="861" t="s">
        <v>6</v>
      </c>
      <c r="D20" s="862"/>
      <c r="E20" s="862"/>
      <c r="F20" s="863"/>
      <c r="G20" s="897">
        <v>0</v>
      </c>
      <c r="H20" s="864">
        <f t="shared" ref="H20:L20" si="4">SUM(H17:H19)</f>
        <v>10432115.390000001</v>
      </c>
      <c r="I20" s="864">
        <f t="shared" si="4"/>
        <v>500000</v>
      </c>
      <c r="J20" s="897">
        <v>0</v>
      </c>
      <c r="K20" s="897">
        <v>0</v>
      </c>
      <c r="L20" s="864">
        <f t="shared" si="4"/>
        <v>10932115.390000001</v>
      </c>
    </row>
    <row r="21" spans="1:12" ht="15.75">
      <c r="A21" s="19"/>
      <c r="B21" s="227"/>
      <c r="C21" s="29"/>
      <c r="D21" s="29"/>
      <c r="E21" s="29"/>
      <c r="F21" s="592"/>
      <c r="G21" s="30"/>
      <c r="H21" s="30"/>
      <c r="I21" s="30"/>
      <c r="J21" s="30"/>
      <c r="K21" s="30"/>
      <c r="L21" s="31"/>
    </row>
    <row r="22" spans="1:12" ht="15.75">
      <c r="A22" s="19"/>
      <c r="B22" s="227"/>
      <c r="C22" s="29"/>
      <c r="D22" s="29"/>
      <c r="E22" s="29"/>
      <c r="F22" s="592"/>
      <c r="G22" s="30"/>
      <c r="H22" s="30"/>
      <c r="I22" s="30"/>
      <c r="J22" s="30"/>
      <c r="K22" s="30"/>
      <c r="L22" s="31"/>
    </row>
    <row r="23" spans="1:12" ht="18.75">
      <c r="A23" s="96"/>
      <c r="B23" s="271"/>
      <c r="C23" s="102" t="s">
        <v>9</v>
      </c>
      <c r="D23" s="98"/>
      <c r="E23" s="98"/>
      <c r="F23" s="272"/>
      <c r="G23" s="107">
        <f>SUM(G24:G53)</f>
        <v>11136478.990000002</v>
      </c>
      <c r="H23" s="107">
        <f>SUM(H24:H53)</f>
        <v>6484330.6599999992</v>
      </c>
      <c r="I23" s="107">
        <f>SUM(I24:I52)</f>
        <v>11020000</v>
      </c>
      <c r="J23" s="107">
        <f>SUM(J24:J53)</f>
        <v>270000</v>
      </c>
      <c r="K23" s="107">
        <f>SUM(K24:K52)</f>
        <v>0</v>
      </c>
      <c r="L23" s="107">
        <f>SUM(G23:K23)</f>
        <v>28910809.650000002</v>
      </c>
    </row>
    <row r="24" spans="1:12" ht="37.5">
      <c r="A24" s="873">
        <v>1</v>
      </c>
      <c r="B24" s="854" t="s">
        <v>1058</v>
      </c>
      <c r="C24" s="874" t="s">
        <v>93</v>
      </c>
      <c r="D24" s="875" t="s">
        <v>1111</v>
      </c>
      <c r="E24" s="853"/>
      <c r="F24" s="853"/>
      <c r="G24" s="480">
        <v>167657.10999999999</v>
      </c>
      <c r="H24" s="480">
        <v>0</v>
      </c>
      <c r="I24" s="480">
        <v>0</v>
      </c>
      <c r="J24" s="480">
        <v>0</v>
      </c>
      <c r="K24" s="480">
        <v>0</v>
      </c>
      <c r="L24" s="265">
        <f>SUM(G24:K24)</f>
        <v>167657.10999999999</v>
      </c>
    </row>
    <row r="25" spans="1:12" ht="37.5">
      <c r="A25" s="873">
        <v>2</v>
      </c>
      <c r="B25" s="854" t="s">
        <v>862</v>
      </c>
      <c r="C25" s="876" t="s">
        <v>94</v>
      </c>
      <c r="D25" s="875" t="s">
        <v>38</v>
      </c>
      <c r="E25" s="970">
        <v>1</v>
      </c>
      <c r="F25" s="853"/>
      <c r="G25" s="480">
        <f>972798.46-0.72</f>
        <v>972797.74</v>
      </c>
      <c r="H25" s="480">
        <v>0</v>
      </c>
      <c r="I25" s="480">
        <v>0</v>
      </c>
      <c r="J25" s="480">
        <v>0</v>
      </c>
      <c r="K25" s="480">
        <v>0</v>
      </c>
      <c r="L25" s="265">
        <f t="shared" ref="L25:L53" si="5">SUM(G25:K25)</f>
        <v>972797.74</v>
      </c>
    </row>
    <row r="26" spans="1:12" ht="99" customHeight="1">
      <c r="A26" s="873">
        <v>3</v>
      </c>
      <c r="B26" s="854"/>
      <c r="C26" s="877" t="s">
        <v>95</v>
      </c>
      <c r="D26" s="875"/>
      <c r="E26" s="858"/>
      <c r="F26" s="858" t="s">
        <v>1458</v>
      </c>
      <c r="G26" s="480">
        <f>15000-9121.29-5878.71</f>
        <v>0</v>
      </c>
      <c r="H26" s="480">
        <v>0</v>
      </c>
      <c r="I26" s="480">
        <v>0</v>
      </c>
      <c r="J26" s="480">
        <v>0</v>
      </c>
      <c r="K26" s="480">
        <v>0</v>
      </c>
      <c r="L26" s="480">
        <f t="shared" si="5"/>
        <v>0</v>
      </c>
    </row>
    <row r="27" spans="1:12" ht="93.75">
      <c r="A27" s="873">
        <v>3.1</v>
      </c>
      <c r="B27" s="857" t="s">
        <v>963</v>
      </c>
      <c r="C27" s="874" t="s">
        <v>39</v>
      </c>
      <c r="D27" s="875" t="s">
        <v>40</v>
      </c>
      <c r="E27" s="970">
        <v>1</v>
      </c>
      <c r="F27" s="858" t="s">
        <v>1528</v>
      </c>
      <c r="G27" s="480">
        <f>45068.69+230.15</f>
        <v>45298.840000000004</v>
      </c>
      <c r="H27" s="480">
        <v>0</v>
      </c>
      <c r="I27" s="480">
        <v>0</v>
      </c>
      <c r="J27" s="480">
        <v>0</v>
      </c>
      <c r="K27" s="480">
        <v>0</v>
      </c>
      <c r="L27" s="265">
        <f t="shared" si="5"/>
        <v>45298.840000000004</v>
      </c>
    </row>
    <row r="28" spans="1:12" ht="56.25">
      <c r="A28" s="873">
        <v>3.2</v>
      </c>
      <c r="B28" s="857" t="s">
        <v>963</v>
      </c>
      <c r="C28" s="874" t="s">
        <v>41</v>
      </c>
      <c r="D28" s="875" t="s">
        <v>683</v>
      </c>
      <c r="E28" s="970">
        <v>1</v>
      </c>
      <c r="F28" s="858"/>
      <c r="G28" s="480">
        <v>43261.98</v>
      </c>
      <c r="H28" s="480">
        <v>0</v>
      </c>
      <c r="I28" s="480">
        <v>0</v>
      </c>
      <c r="J28" s="480">
        <v>0</v>
      </c>
      <c r="K28" s="480">
        <v>0</v>
      </c>
      <c r="L28" s="480">
        <f t="shared" si="5"/>
        <v>43261.98</v>
      </c>
    </row>
    <row r="29" spans="1:12" ht="93.75">
      <c r="A29" s="873">
        <v>3.3</v>
      </c>
      <c r="B29" s="857" t="s">
        <v>963</v>
      </c>
      <c r="C29" s="874" t="s">
        <v>43</v>
      </c>
      <c r="D29" s="875" t="s">
        <v>684</v>
      </c>
      <c r="E29" s="970">
        <v>1</v>
      </c>
      <c r="F29" s="858" t="s">
        <v>1529</v>
      </c>
      <c r="G29" s="480">
        <f>73035.54+10852.13</f>
        <v>83887.67</v>
      </c>
      <c r="H29" s="480">
        <v>0</v>
      </c>
      <c r="I29" s="480">
        <v>0</v>
      </c>
      <c r="J29" s="480">
        <v>0</v>
      </c>
      <c r="K29" s="480">
        <v>0</v>
      </c>
      <c r="L29" s="480">
        <f t="shared" si="5"/>
        <v>83887.67</v>
      </c>
    </row>
    <row r="30" spans="1:12" ht="94.5" customHeight="1">
      <c r="A30" s="873">
        <v>3.4</v>
      </c>
      <c r="B30" s="857" t="s">
        <v>963</v>
      </c>
      <c r="C30" s="874" t="s">
        <v>44</v>
      </c>
      <c r="D30" s="875" t="s">
        <v>685</v>
      </c>
      <c r="E30" s="970">
        <v>1</v>
      </c>
      <c r="F30" s="858" t="s">
        <v>1525</v>
      </c>
      <c r="G30" s="480">
        <f>340698.09+9121.29+20331.46</f>
        <v>370150.84</v>
      </c>
      <c r="H30" s="480">
        <v>0</v>
      </c>
      <c r="I30" s="480">
        <v>0</v>
      </c>
      <c r="J30" s="480">
        <v>0</v>
      </c>
      <c r="K30" s="480">
        <v>0</v>
      </c>
      <c r="L30" s="265">
        <f t="shared" si="5"/>
        <v>370150.84</v>
      </c>
    </row>
    <row r="31" spans="1:12" ht="96" customHeight="1">
      <c r="A31" s="873">
        <v>3.5</v>
      </c>
      <c r="B31" s="857" t="s">
        <v>963</v>
      </c>
      <c r="C31" s="874" t="s">
        <v>45</v>
      </c>
      <c r="D31" s="875" t="s">
        <v>686</v>
      </c>
      <c r="E31" s="970">
        <v>1</v>
      </c>
      <c r="F31" s="858" t="s">
        <v>1530</v>
      </c>
      <c r="G31" s="480">
        <f>85242.7-3133.56</f>
        <v>82109.14</v>
      </c>
      <c r="H31" s="480">
        <v>0</v>
      </c>
      <c r="I31" s="480">
        <v>0</v>
      </c>
      <c r="J31" s="480">
        <v>0</v>
      </c>
      <c r="K31" s="480">
        <v>0</v>
      </c>
      <c r="L31" s="265">
        <f t="shared" si="5"/>
        <v>82109.14</v>
      </c>
    </row>
    <row r="32" spans="1:12" ht="95.25" customHeight="1">
      <c r="A32" s="873">
        <v>3.6</v>
      </c>
      <c r="B32" s="857" t="s">
        <v>963</v>
      </c>
      <c r="C32" s="874" t="s">
        <v>96</v>
      </c>
      <c r="D32" s="875" t="s">
        <v>687</v>
      </c>
      <c r="E32" s="970">
        <v>1</v>
      </c>
      <c r="F32" s="858" t="s">
        <v>1526</v>
      </c>
      <c r="G32" s="480">
        <f>59612.35-16202.35</f>
        <v>43410</v>
      </c>
      <c r="H32" s="480">
        <v>0</v>
      </c>
      <c r="I32" s="480">
        <v>0</v>
      </c>
      <c r="J32" s="480">
        <v>0</v>
      </c>
      <c r="K32" s="480">
        <v>0</v>
      </c>
      <c r="L32" s="265">
        <f t="shared" si="5"/>
        <v>43410</v>
      </c>
    </row>
    <row r="33" spans="1:12" ht="37.5">
      <c r="A33" s="873">
        <v>3.7</v>
      </c>
      <c r="B33" s="857" t="s">
        <v>963</v>
      </c>
      <c r="C33" s="874" t="s">
        <v>97</v>
      </c>
      <c r="D33" s="875" t="s">
        <v>682</v>
      </c>
      <c r="E33" s="970">
        <v>1</v>
      </c>
      <c r="F33" s="858"/>
      <c r="G33" s="480">
        <v>17789.09</v>
      </c>
      <c r="H33" s="480">
        <v>0</v>
      </c>
      <c r="I33" s="480">
        <v>0</v>
      </c>
      <c r="J33" s="480">
        <v>0</v>
      </c>
      <c r="K33" s="480">
        <v>0</v>
      </c>
      <c r="L33" s="265">
        <f t="shared" si="5"/>
        <v>17789.09</v>
      </c>
    </row>
    <row r="34" spans="1:12" ht="93.75">
      <c r="A34" s="873">
        <v>3.8</v>
      </c>
      <c r="B34" s="857" t="s">
        <v>963</v>
      </c>
      <c r="C34" s="874" t="s">
        <v>70</v>
      </c>
      <c r="D34" s="875" t="s">
        <v>688</v>
      </c>
      <c r="E34" s="970">
        <v>1</v>
      </c>
      <c r="F34" s="858" t="s">
        <v>1527</v>
      </c>
      <c r="G34" s="480">
        <f>70612.08-12077.83</f>
        <v>58534.25</v>
      </c>
      <c r="H34" s="480">
        <v>0</v>
      </c>
      <c r="I34" s="480">
        <v>0</v>
      </c>
      <c r="J34" s="480">
        <v>0</v>
      </c>
      <c r="K34" s="480">
        <v>0</v>
      </c>
      <c r="L34" s="265">
        <f t="shared" si="5"/>
        <v>58534.25</v>
      </c>
    </row>
    <row r="35" spans="1:12" ht="37.5">
      <c r="A35" s="873">
        <v>4</v>
      </c>
      <c r="B35" s="854"/>
      <c r="C35" s="878" t="s">
        <v>98</v>
      </c>
      <c r="D35" s="875"/>
      <c r="E35" s="853"/>
      <c r="F35" s="853"/>
      <c r="G35" s="480">
        <v>0</v>
      </c>
      <c r="H35" s="480">
        <v>0</v>
      </c>
      <c r="I35" s="480">
        <v>0</v>
      </c>
      <c r="J35" s="480">
        <v>0</v>
      </c>
      <c r="K35" s="480">
        <v>0</v>
      </c>
      <c r="L35" s="265">
        <f t="shared" si="5"/>
        <v>0</v>
      </c>
    </row>
    <row r="36" spans="1:12" ht="37.5">
      <c r="A36" s="873">
        <v>4.0999999999999996</v>
      </c>
      <c r="B36" s="857" t="s">
        <v>890</v>
      </c>
      <c r="C36" s="874" t="s">
        <v>1553</v>
      </c>
      <c r="D36" s="875" t="s">
        <v>689</v>
      </c>
      <c r="E36" s="970">
        <v>0.35</v>
      </c>
      <c r="F36" s="879"/>
      <c r="G36" s="480">
        <f>950000+22468.21</f>
        <v>972468.21</v>
      </c>
      <c r="H36" s="480">
        <v>0</v>
      </c>
      <c r="I36" s="480">
        <v>0</v>
      </c>
      <c r="J36" s="480">
        <v>0</v>
      </c>
      <c r="K36" s="480">
        <v>0</v>
      </c>
      <c r="L36" s="265">
        <f t="shared" si="5"/>
        <v>972468.21</v>
      </c>
    </row>
    <row r="37" spans="1:12" ht="37.5">
      <c r="A37" s="873">
        <v>4.2</v>
      </c>
      <c r="B37" s="857" t="s">
        <v>1046</v>
      </c>
      <c r="C37" s="876" t="s">
        <v>47</v>
      </c>
      <c r="D37" s="875" t="s">
        <v>690</v>
      </c>
      <c r="E37" s="970">
        <v>1</v>
      </c>
      <c r="F37" s="853"/>
      <c r="G37" s="480">
        <v>1000000</v>
      </c>
      <c r="H37" s="480">
        <v>0</v>
      </c>
      <c r="I37" s="480">
        <v>0</v>
      </c>
      <c r="J37" s="480">
        <v>0</v>
      </c>
      <c r="K37" s="480">
        <v>0</v>
      </c>
      <c r="L37" s="265">
        <f t="shared" si="5"/>
        <v>1000000</v>
      </c>
    </row>
    <row r="38" spans="1:12" ht="93.75">
      <c r="A38" s="873">
        <v>4.3</v>
      </c>
      <c r="B38" s="857" t="s">
        <v>880</v>
      </c>
      <c r="C38" s="876" t="s">
        <v>48</v>
      </c>
      <c r="D38" s="875" t="s">
        <v>683</v>
      </c>
      <c r="E38" s="970">
        <v>1</v>
      </c>
      <c r="F38" s="858" t="s">
        <v>1486</v>
      </c>
      <c r="G38" s="480">
        <v>1050000</v>
      </c>
      <c r="H38" s="480">
        <f>33980.88-2006.52</f>
        <v>31974.359999999997</v>
      </c>
      <c r="I38" s="480">
        <v>0</v>
      </c>
      <c r="J38" s="480">
        <v>0</v>
      </c>
      <c r="K38" s="480">
        <v>0</v>
      </c>
      <c r="L38" s="480">
        <f t="shared" si="5"/>
        <v>1081974.3600000001</v>
      </c>
    </row>
    <row r="39" spans="1:12" ht="93.75">
      <c r="A39" s="873">
        <v>4.4000000000000004</v>
      </c>
      <c r="B39" s="857" t="s">
        <v>879</v>
      </c>
      <c r="C39" s="876" t="s">
        <v>49</v>
      </c>
      <c r="D39" s="875" t="s">
        <v>50</v>
      </c>
      <c r="E39" s="970">
        <v>1</v>
      </c>
      <c r="F39" s="858" t="s">
        <v>1487</v>
      </c>
      <c r="G39" s="480">
        <v>1572000</v>
      </c>
      <c r="H39" s="480">
        <f>21000-2563.47</f>
        <v>18436.53</v>
      </c>
      <c r="I39" s="480">
        <v>0</v>
      </c>
      <c r="J39" s="480">
        <v>0</v>
      </c>
      <c r="K39" s="480">
        <v>0</v>
      </c>
      <c r="L39" s="265">
        <f t="shared" si="5"/>
        <v>1590436.53</v>
      </c>
    </row>
    <row r="40" spans="1:12" ht="37.5">
      <c r="A40" s="873">
        <v>5</v>
      </c>
      <c r="B40" s="857" t="s">
        <v>837</v>
      </c>
      <c r="C40" s="876" t="s">
        <v>89</v>
      </c>
      <c r="D40" s="875" t="s">
        <v>682</v>
      </c>
      <c r="E40" s="970">
        <v>0.99</v>
      </c>
      <c r="F40" s="853"/>
      <c r="G40" s="480">
        <v>838584.72</v>
      </c>
      <c r="H40" s="480">
        <v>0</v>
      </c>
      <c r="I40" s="480">
        <v>0</v>
      </c>
      <c r="J40" s="480">
        <v>0</v>
      </c>
      <c r="K40" s="480">
        <v>0</v>
      </c>
      <c r="L40" s="265">
        <f t="shared" si="5"/>
        <v>838584.72</v>
      </c>
    </row>
    <row r="41" spans="1:12" ht="93.75">
      <c r="A41" s="873">
        <v>6</v>
      </c>
      <c r="B41" s="857" t="s">
        <v>877</v>
      </c>
      <c r="C41" s="876" t="s">
        <v>71</v>
      </c>
      <c r="D41" s="875" t="s">
        <v>682</v>
      </c>
      <c r="E41" s="970">
        <v>1</v>
      </c>
      <c r="F41" s="858" t="s">
        <v>1551</v>
      </c>
      <c r="G41" s="480">
        <f>300000-11258.44</f>
        <v>288741.56</v>
      </c>
      <c r="H41" s="480">
        <v>0</v>
      </c>
      <c r="I41" s="480">
        <v>0</v>
      </c>
      <c r="J41" s="480">
        <v>0</v>
      </c>
      <c r="K41" s="480">
        <v>0</v>
      </c>
      <c r="L41" s="265">
        <f t="shared" si="5"/>
        <v>288741.56</v>
      </c>
    </row>
    <row r="42" spans="1:12" ht="93.75">
      <c r="A42" s="89">
        <v>7</v>
      </c>
      <c r="B42" s="857" t="s">
        <v>856</v>
      </c>
      <c r="C42" s="876" t="s">
        <v>1534</v>
      </c>
      <c r="D42" s="875" t="s">
        <v>689</v>
      </c>
      <c r="E42" s="970">
        <v>1</v>
      </c>
      <c r="F42" s="858" t="s">
        <v>1552</v>
      </c>
      <c r="G42" s="480">
        <f>599730.96-14189.6</f>
        <v>585541.36</v>
      </c>
      <c r="H42" s="480">
        <v>0</v>
      </c>
      <c r="I42" s="480">
        <v>0</v>
      </c>
      <c r="J42" s="480">
        <v>0</v>
      </c>
      <c r="K42" s="480">
        <v>0</v>
      </c>
      <c r="L42" s="265">
        <f t="shared" si="5"/>
        <v>585541.36</v>
      </c>
    </row>
    <row r="43" spans="1:12" ht="37.5">
      <c r="A43" s="873">
        <v>8</v>
      </c>
      <c r="B43" s="857" t="s">
        <v>956</v>
      </c>
      <c r="C43" s="876" t="s">
        <v>52</v>
      </c>
      <c r="D43" s="875" t="s">
        <v>691</v>
      </c>
      <c r="E43" s="970">
        <v>0.63</v>
      </c>
      <c r="F43" s="853"/>
      <c r="G43" s="480">
        <v>850000</v>
      </c>
      <c r="H43" s="480">
        <v>0</v>
      </c>
      <c r="I43" s="480">
        <v>0</v>
      </c>
      <c r="J43" s="480">
        <v>0</v>
      </c>
      <c r="K43" s="480">
        <v>0</v>
      </c>
      <c r="L43" s="265">
        <f t="shared" si="5"/>
        <v>850000</v>
      </c>
    </row>
    <row r="44" spans="1:12" ht="90.75" customHeight="1">
      <c r="A44" s="873">
        <v>9</v>
      </c>
      <c r="B44" s="880" t="s">
        <v>437</v>
      </c>
      <c r="C44" s="876" t="s">
        <v>53</v>
      </c>
      <c r="D44" s="875" t="s">
        <v>54</v>
      </c>
      <c r="E44" s="970">
        <v>1</v>
      </c>
      <c r="F44" s="858" t="s">
        <v>1465</v>
      </c>
      <c r="G44" s="480">
        <f>228617.55-8481.06</f>
        <v>220136.49</v>
      </c>
      <c r="H44" s="480">
        <v>0</v>
      </c>
      <c r="I44" s="480">
        <v>0</v>
      </c>
      <c r="J44" s="480">
        <v>0</v>
      </c>
      <c r="K44" s="480">
        <v>0</v>
      </c>
      <c r="L44" s="480">
        <f t="shared" si="5"/>
        <v>220136.49</v>
      </c>
    </row>
    <row r="45" spans="1:12" ht="56.25">
      <c r="A45" s="89">
        <v>10</v>
      </c>
      <c r="B45" s="857" t="s">
        <v>876</v>
      </c>
      <c r="C45" s="881" t="s">
        <v>55</v>
      </c>
      <c r="D45" s="875" t="s">
        <v>56</v>
      </c>
      <c r="E45" s="970">
        <v>1</v>
      </c>
      <c r="F45" s="853"/>
      <c r="G45" s="480">
        <v>349190.8</v>
      </c>
      <c r="H45" s="480">
        <v>0</v>
      </c>
      <c r="I45" s="480">
        <v>0</v>
      </c>
      <c r="J45" s="480">
        <v>0</v>
      </c>
      <c r="K45" s="480">
        <v>0</v>
      </c>
      <c r="L45" s="265">
        <f t="shared" si="5"/>
        <v>349190.8</v>
      </c>
    </row>
    <row r="46" spans="1:12" ht="37.5">
      <c r="A46" s="873">
        <v>11</v>
      </c>
      <c r="B46" s="857" t="s">
        <v>840</v>
      </c>
      <c r="C46" s="876" t="s">
        <v>57</v>
      </c>
      <c r="D46" s="875" t="s">
        <v>58</v>
      </c>
      <c r="E46" s="970">
        <v>1</v>
      </c>
      <c r="F46" s="853"/>
      <c r="G46" s="480">
        <v>270000</v>
      </c>
      <c r="H46" s="480">
        <v>0</v>
      </c>
      <c r="I46" s="480">
        <v>0</v>
      </c>
      <c r="J46" s="480">
        <v>0</v>
      </c>
      <c r="K46" s="480">
        <v>0</v>
      </c>
      <c r="L46" s="480">
        <f t="shared" si="5"/>
        <v>270000</v>
      </c>
    </row>
    <row r="47" spans="1:12" ht="37.5">
      <c r="A47" s="873">
        <v>12</v>
      </c>
      <c r="B47" s="857" t="s">
        <v>841</v>
      </c>
      <c r="C47" s="876" t="s">
        <v>99</v>
      </c>
      <c r="D47" s="875" t="s">
        <v>692</v>
      </c>
      <c r="E47" s="970">
        <v>1</v>
      </c>
      <c r="F47" s="853"/>
      <c r="G47" s="480">
        <v>849933.38</v>
      </c>
      <c r="H47" s="480">
        <v>0</v>
      </c>
      <c r="I47" s="480">
        <v>0</v>
      </c>
      <c r="J47" s="480">
        <v>0</v>
      </c>
      <c r="K47" s="480">
        <v>0</v>
      </c>
      <c r="L47" s="265">
        <f t="shared" si="5"/>
        <v>849933.38</v>
      </c>
    </row>
    <row r="48" spans="1:12" ht="56.25">
      <c r="A48" s="873">
        <v>13</v>
      </c>
      <c r="B48" s="882" t="s">
        <v>1124</v>
      </c>
      <c r="C48" s="881" t="s">
        <v>1126</v>
      </c>
      <c r="D48" s="875" t="s">
        <v>68</v>
      </c>
      <c r="E48" s="970">
        <v>1</v>
      </c>
      <c r="F48" s="858" t="s">
        <v>1462</v>
      </c>
      <c r="G48" s="480">
        <f>100000+84985.81</f>
        <v>184985.81</v>
      </c>
      <c r="H48" s="480">
        <v>0</v>
      </c>
      <c r="I48" s="480">
        <v>0</v>
      </c>
      <c r="J48" s="480">
        <v>100000</v>
      </c>
      <c r="K48" s="480">
        <v>0</v>
      </c>
      <c r="L48" s="265">
        <f t="shared" si="5"/>
        <v>284985.81</v>
      </c>
    </row>
    <row r="49" spans="1:12" ht="37.5">
      <c r="A49" s="873">
        <v>14</v>
      </c>
      <c r="B49" s="89" t="s">
        <v>1165</v>
      </c>
      <c r="C49" s="876" t="s">
        <v>1059</v>
      </c>
      <c r="D49" s="875" t="s">
        <v>899</v>
      </c>
      <c r="E49" s="970">
        <v>1</v>
      </c>
      <c r="F49" s="859"/>
      <c r="G49" s="480">
        <v>120000</v>
      </c>
      <c r="H49" s="480">
        <v>131486.71</v>
      </c>
      <c r="I49" s="480">
        <v>0</v>
      </c>
      <c r="J49" s="480">
        <v>0</v>
      </c>
      <c r="K49" s="480">
        <v>0</v>
      </c>
      <c r="L49" s="265">
        <f t="shared" si="5"/>
        <v>251486.71</v>
      </c>
    </row>
    <row r="50" spans="1:12" ht="108" customHeight="1">
      <c r="A50" s="873">
        <v>15</v>
      </c>
      <c r="B50" s="854" t="s">
        <v>767</v>
      </c>
      <c r="C50" s="876" t="s">
        <v>10</v>
      </c>
      <c r="D50" s="875" t="s">
        <v>693</v>
      </c>
      <c r="E50" s="970">
        <v>1</v>
      </c>
      <c r="F50" s="858" t="s">
        <v>1506</v>
      </c>
      <c r="G50" s="480">
        <v>0</v>
      </c>
      <c r="H50" s="480">
        <f>6000000+222433.06</f>
        <v>6222433.0599999996</v>
      </c>
      <c r="I50" s="480">
        <v>0</v>
      </c>
      <c r="J50" s="480">
        <v>0</v>
      </c>
      <c r="K50" s="480">
        <v>0</v>
      </c>
      <c r="L50" s="265">
        <f t="shared" si="5"/>
        <v>6222433.0599999996</v>
      </c>
    </row>
    <row r="51" spans="1:12" ht="37.5">
      <c r="A51" s="873">
        <v>16</v>
      </c>
      <c r="B51" s="854"/>
      <c r="C51" s="876" t="s">
        <v>11</v>
      </c>
      <c r="D51" s="875" t="s">
        <v>72</v>
      </c>
      <c r="E51" s="970"/>
      <c r="F51" s="853" t="s">
        <v>1554</v>
      </c>
      <c r="G51" s="480">
        <v>0</v>
      </c>
      <c r="H51" s="480">
        <v>0</v>
      </c>
      <c r="I51" s="960">
        <v>11000000</v>
      </c>
      <c r="J51" s="480">
        <v>0</v>
      </c>
      <c r="K51" s="480">
        <v>0</v>
      </c>
      <c r="L51" s="265">
        <f t="shared" si="5"/>
        <v>11000000</v>
      </c>
    </row>
    <row r="52" spans="1:12" ht="37.5">
      <c r="A52" s="873">
        <v>17</v>
      </c>
      <c r="B52" s="854"/>
      <c r="C52" s="876" t="s">
        <v>774</v>
      </c>
      <c r="D52" s="875" t="s">
        <v>694</v>
      </c>
      <c r="E52" s="970"/>
      <c r="F52" s="853"/>
      <c r="G52" s="480">
        <v>0</v>
      </c>
      <c r="H52" s="480">
        <v>0</v>
      </c>
      <c r="I52" s="480">
        <v>20000</v>
      </c>
      <c r="J52" s="480">
        <v>0</v>
      </c>
      <c r="K52" s="480">
        <v>0</v>
      </c>
      <c r="L52" s="480">
        <f t="shared" si="5"/>
        <v>20000</v>
      </c>
    </row>
    <row r="53" spans="1:12" ht="131.25">
      <c r="A53" s="76">
        <v>18</v>
      </c>
      <c r="B53" s="857" t="s">
        <v>1223</v>
      </c>
      <c r="C53" s="883" t="s">
        <v>1035</v>
      </c>
      <c r="D53" s="528" t="s">
        <v>682</v>
      </c>
      <c r="E53" s="970">
        <v>1</v>
      </c>
      <c r="F53" s="286"/>
      <c r="G53" s="266">
        <v>100000</v>
      </c>
      <c r="H53" s="266">
        <v>80000</v>
      </c>
      <c r="I53" s="266">
        <v>0</v>
      </c>
      <c r="J53" s="266">
        <v>170000</v>
      </c>
      <c r="K53" s="266">
        <v>0</v>
      </c>
      <c r="L53" s="480">
        <f t="shared" si="5"/>
        <v>350000</v>
      </c>
    </row>
    <row r="54" spans="1:12" ht="19.5" thickBot="1">
      <c r="A54" s="860"/>
      <c r="B54" s="860"/>
      <c r="C54" s="861" t="s">
        <v>6</v>
      </c>
      <c r="D54" s="862"/>
      <c r="E54" s="862"/>
      <c r="F54" s="884"/>
      <c r="G54" s="864">
        <f t="shared" ref="G54:L54" si="6">SUM(G24:G53)</f>
        <v>11136478.990000002</v>
      </c>
      <c r="H54" s="864">
        <f t="shared" si="6"/>
        <v>6484330.6599999992</v>
      </c>
      <c r="I54" s="864">
        <f t="shared" si="6"/>
        <v>11020000</v>
      </c>
      <c r="J54" s="864">
        <f t="shared" si="6"/>
        <v>270000</v>
      </c>
      <c r="K54" s="897">
        <v>0</v>
      </c>
      <c r="L54" s="864">
        <f t="shared" si="6"/>
        <v>28910809.650000002</v>
      </c>
    </row>
    <row r="55" spans="1:12" ht="15.75">
      <c r="A55" s="24"/>
      <c r="B55" s="227"/>
      <c r="C55" s="250"/>
      <c r="D55" s="33"/>
      <c r="E55" s="33"/>
      <c r="F55" s="592"/>
      <c r="G55" s="34"/>
      <c r="H55" s="34"/>
      <c r="I55" s="34"/>
      <c r="J55" s="34"/>
      <c r="K55" s="34"/>
      <c r="L55" s="35"/>
    </row>
    <row r="56" spans="1:12" ht="15.75">
      <c r="A56" s="24"/>
      <c r="B56" s="227"/>
      <c r="C56" s="250"/>
      <c r="D56" s="33"/>
      <c r="E56" s="33"/>
      <c r="F56" s="592"/>
      <c r="G56" s="34"/>
      <c r="H56" s="34"/>
      <c r="I56" s="34"/>
      <c r="J56" s="34"/>
      <c r="K56" s="34"/>
      <c r="L56" s="35"/>
    </row>
    <row r="57" spans="1:12" ht="37.5">
      <c r="A57" s="96"/>
      <c r="B57" s="271"/>
      <c r="C57" s="102" t="s">
        <v>12</v>
      </c>
      <c r="D57" s="97"/>
      <c r="E57" s="97"/>
      <c r="F57" s="272"/>
      <c r="G57" s="107">
        <f t="shared" ref="G57:L57" si="7">SUM(G58:G60)</f>
        <v>0</v>
      </c>
      <c r="H57" s="107">
        <f t="shared" si="7"/>
        <v>866188.11</v>
      </c>
      <c r="I57" s="107">
        <f t="shared" si="7"/>
        <v>0</v>
      </c>
      <c r="J57" s="107">
        <f t="shared" si="7"/>
        <v>4599726</v>
      </c>
      <c r="K57" s="107">
        <f t="shared" si="7"/>
        <v>0</v>
      </c>
      <c r="L57" s="107">
        <f t="shared" si="7"/>
        <v>5465914.1099999994</v>
      </c>
    </row>
    <row r="58" spans="1:12" ht="18.75">
      <c r="A58" s="76">
        <v>1</v>
      </c>
      <c r="B58" s="854"/>
      <c r="C58" s="71" t="s">
        <v>100</v>
      </c>
      <c r="D58" s="77"/>
      <c r="E58" s="853"/>
      <c r="F58" s="853"/>
      <c r="G58" s="480">
        <v>0</v>
      </c>
      <c r="H58" s="72">
        <f>283004.93-136924.87-146080.06</f>
        <v>0</v>
      </c>
      <c r="I58" s="480">
        <v>0</v>
      </c>
      <c r="J58" s="72">
        <f>4599726-394144-1000000</f>
        <v>3205582</v>
      </c>
      <c r="K58" s="480">
        <v>0</v>
      </c>
      <c r="L58" s="73">
        <f>SUM(G58:K58)</f>
        <v>3205582</v>
      </c>
    </row>
    <row r="59" spans="1:12" ht="93.75">
      <c r="A59" s="76">
        <v>1.1000000000000001</v>
      </c>
      <c r="B59" s="89" t="s">
        <v>1096</v>
      </c>
      <c r="C59" s="74" t="s">
        <v>1060</v>
      </c>
      <c r="D59" s="655"/>
      <c r="E59" s="971">
        <v>1</v>
      </c>
      <c r="F59" s="858" t="s">
        <v>1488</v>
      </c>
      <c r="G59" s="265">
        <v>0</v>
      </c>
      <c r="H59" s="266">
        <f>262763+136924.87-136924.87+3425.11</f>
        <v>266188.11</v>
      </c>
      <c r="I59" s="265">
        <v>0</v>
      </c>
      <c r="J59" s="266">
        <v>394144</v>
      </c>
      <c r="K59" s="265">
        <v>0</v>
      </c>
      <c r="L59" s="73">
        <f t="shared" ref="L59:L60" si="8">SUM(G59:K59)</f>
        <v>660332.11</v>
      </c>
    </row>
    <row r="60" spans="1:12" ht="75">
      <c r="A60" s="76">
        <v>1.2</v>
      </c>
      <c r="B60" s="857" t="s">
        <v>1095</v>
      </c>
      <c r="C60" s="74" t="s">
        <v>1061</v>
      </c>
      <c r="D60" s="655"/>
      <c r="E60" s="971">
        <v>1</v>
      </c>
      <c r="F60" s="856"/>
      <c r="G60" s="265">
        <v>0</v>
      </c>
      <c r="H60" s="266">
        <v>600000</v>
      </c>
      <c r="I60" s="265">
        <v>0</v>
      </c>
      <c r="J60" s="266">
        <v>1000000</v>
      </c>
      <c r="K60" s="265">
        <v>0</v>
      </c>
      <c r="L60" s="73">
        <f t="shared" si="8"/>
        <v>1600000</v>
      </c>
    </row>
    <row r="61" spans="1:12" ht="18.75">
      <c r="A61" s="76"/>
      <c r="B61" s="854"/>
      <c r="C61" s="304"/>
      <c r="D61" s="77"/>
      <c r="E61" s="286"/>
      <c r="F61" s="286"/>
      <c r="G61" s="265"/>
      <c r="H61" s="266"/>
      <c r="I61" s="265"/>
      <c r="J61" s="266"/>
      <c r="K61" s="265"/>
      <c r="L61" s="305"/>
    </row>
    <row r="62" spans="1:12" ht="19.5" thickBot="1">
      <c r="A62" s="860"/>
      <c r="B62" s="860"/>
      <c r="C62" s="861" t="s">
        <v>6</v>
      </c>
      <c r="D62" s="862"/>
      <c r="E62" s="862"/>
      <c r="F62" s="885"/>
      <c r="G62" s="897">
        <v>0</v>
      </c>
      <c r="H62" s="864">
        <f t="shared" ref="H62:L62" si="9">SUM(H58:H61)</f>
        <v>866188.11</v>
      </c>
      <c r="I62" s="897">
        <v>0</v>
      </c>
      <c r="J62" s="864">
        <f t="shared" si="9"/>
        <v>4599726</v>
      </c>
      <c r="K62" s="897">
        <v>0</v>
      </c>
      <c r="L62" s="864">
        <f t="shared" si="9"/>
        <v>5465914.1099999994</v>
      </c>
    </row>
    <row r="63" spans="1:12" ht="15.75">
      <c r="A63" s="112"/>
      <c r="B63" s="227"/>
      <c r="C63" s="252"/>
      <c r="D63" s="26"/>
      <c r="E63" s="26"/>
      <c r="F63" s="592"/>
      <c r="G63" s="27"/>
      <c r="H63" s="27"/>
      <c r="I63" s="27"/>
      <c r="J63" s="27"/>
      <c r="K63" s="27"/>
      <c r="L63" s="9"/>
    </row>
    <row r="64" spans="1:12" ht="15.75">
      <c r="A64" s="112"/>
      <c r="B64" s="227"/>
      <c r="C64" s="252"/>
      <c r="D64" s="26"/>
      <c r="E64" s="26"/>
      <c r="F64" s="592"/>
      <c r="G64" s="27"/>
      <c r="H64" s="27"/>
      <c r="I64" s="27"/>
      <c r="J64" s="27"/>
      <c r="K64" s="27"/>
      <c r="L64" s="9"/>
    </row>
    <row r="65" spans="1:12" ht="37.5">
      <c r="A65" s="96"/>
      <c r="B65" s="271"/>
      <c r="C65" s="102" t="s">
        <v>13</v>
      </c>
      <c r="D65" s="99"/>
      <c r="E65" s="99"/>
      <c r="F65" s="272"/>
      <c r="G65" s="107">
        <f>SUM(G66:G68)</f>
        <v>0</v>
      </c>
      <c r="H65" s="107">
        <f t="shared" ref="H65" si="10">SUM(H66:H68)</f>
        <v>89903.88</v>
      </c>
      <c r="I65" s="107">
        <f>SUM(I66:I68)</f>
        <v>4500000</v>
      </c>
      <c r="J65" s="107">
        <f>SUM(J66:J68)</f>
        <v>0</v>
      </c>
      <c r="K65" s="107">
        <f>SUM(K66:K68)</f>
        <v>0</v>
      </c>
      <c r="L65" s="107">
        <f>SUM(G65:K65)</f>
        <v>4589903.88</v>
      </c>
    </row>
    <row r="66" spans="1:12" ht="18.75">
      <c r="A66" s="76">
        <v>1</v>
      </c>
      <c r="B66" s="854" t="s">
        <v>1386</v>
      </c>
      <c r="C66" s="71" t="s">
        <v>14</v>
      </c>
      <c r="D66" s="77"/>
      <c r="E66" s="971">
        <v>0.12</v>
      </c>
      <c r="F66" s="853"/>
      <c r="G66" s="480">
        <v>0</v>
      </c>
      <c r="H66" s="72">
        <v>0</v>
      </c>
      <c r="I66" s="480">
        <v>2000000</v>
      </c>
      <c r="J66" s="72">
        <v>0</v>
      </c>
      <c r="K66" s="480">
        <v>0</v>
      </c>
      <c r="L66" s="265">
        <f>SUM(I66:K66)</f>
        <v>2000000</v>
      </c>
    </row>
    <row r="67" spans="1:12" ht="37.5">
      <c r="A67" s="70">
        <v>2</v>
      </c>
      <c r="B67" s="89" t="s">
        <v>973</v>
      </c>
      <c r="C67" s="71" t="s">
        <v>969</v>
      </c>
      <c r="D67" s="75"/>
      <c r="E67" s="971">
        <v>0.92</v>
      </c>
      <c r="F67" s="89"/>
      <c r="G67" s="480">
        <v>0</v>
      </c>
      <c r="H67" s="72">
        <v>89903.88</v>
      </c>
      <c r="I67" s="480">
        <v>2500000</v>
      </c>
      <c r="J67" s="480">
        <v>0</v>
      </c>
      <c r="K67" s="480">
        <v>0</v>
      </c>
      <c r="L67" s="265">
        <f>SUM(G67:K67)</f>
        <v>2589903.88</v>
      </c>
    </row>
    <row r="68" spans="1:12" ht="18.75">
      <c r="A68" s="76"/>
      <c r="B68" s="854"/>
      <c r="C68" s="304"/>
      <c r="D68" s="77"/>
      <c r="E68" s="77"/>
      <c r="F68" s="856"/>
      <c r="G68" s="265"/>
      <c r="H68" s="266"/>
      <c r="I68" s="265"/>
      <c r="J68" s="265"/>
      <c r="K68" s="265"/>
      <c r="L68" s="265"/>
    </row>
    <row r="69" spans="1:12" ht="19.5" thickBot="1">
      <c r="A69" s="860"/>
      <c r="B69" s="872"/>
      <c r="C69" s="861" t="s">
        <v>6</v>
      </c>
      <c r="D69" s="862"/>
      <c r="E69" s="862"/>
      <c r="F69" s="884"/>
      <c r="G69" s="897">
        <v>0</v>
      </c>
      <c r="H69" s="864">
        <f t="shared" ref="H69:L69" si="11">SUM(H66:H68)</f>
        <v>89903.88</v>
      </c>
      <c r="I69" s="864">
        <f t="shared" si="11"/>
        <v>4500000</v>
      </c>
      <c r="J69" s="897">
        <v>0</v>
      </c>
      <c r="K69" s="897">
        <v>0</v>
      </c>
      <c r="L69" s="864">
        <f t="shared" si="11"/>
        <v>4589903.88</v>
      </c>
    </row>
    <row r="70" spans="1:12" ht="15.75">
      <c r="A70" s="24"/>
      <c r="B70" s="227"/>
      <c r="C70" s="36"/>
      <c r="D70" s="26"/>
      <c r="E70" s="26"/>
      <c r="F70" s="592"/>
      <c r="G70" s="27"/>
      <c r="H70" s="37"/>
      <c r="I70" s="37"/>
      <c r="J70" s="37"/>
      <c r="K70" s="37"/>
      <c r="L70" s="3"/>
    </row>
    <row r="71" spans="1:12" ht="15.75">
      <c r="A71" s="24"/>
      <c r="B71" s="227"/>
      <c r="C71" s="36"/>
      <c r="D71" s="26"/>
      <c r="E71" s="26"/>
      <c r="F71" s="592"/>
      <c r="G71" s="27"/>
      <c r="H71" s="37"/>
      <c r="I71" s="37"/>
      <c r="J71" s="37"/>
      <c r="K71" s="37"/>
      <c r="L71" s="3"/>
    </row>
    <row r="72" spans="1:12" ht="37.5">
      <c r="A72" s="109"/>
      <c r="B72" s="271"/>
      <c r="C72" s="102" t="s">
        <v>15</v>
      </c>
      <c r="D72" s="110"/>
      <c r="E72" s="110"/>
      <c r="F72" s="272"/>
      <c r="G72" s="107">
        <f>SUM(G73:G94)</f>
        <v>0</v>
      </c>
      <c r="H72" s="107">
        <f>SUM(H73:H99)</f>
        <v>26495672.359999996</v>
      </c>
      <c r="I72" s="107">
        <f t="shared" ref="I72:K72" si="12">SUM(I73:I99)</f>
        <v>61428368</v>
      </c>
      <c r="J72" s="107">
        <f t="shared" si="12"/>
        <v>75800000</v>
      </c>
      <c r="K72" s="107">
        <f t="shared" si="12"/>
        <v>5316298.9800000004</v>
      </c>
      <c r="L72" s="107">
        <f>SUM(G72:K72)</f>
        <v>169040339.34</v>
      </c>
    </row>
    <row r="73" spans="1:12" ht="56.25">
      <c r="A73" s="113">
        <v>1</v>
      </c>
      <c r="B73" s="882" t="s">
        <v>1171</v>
      </c>
      <c r="C73" s="540" t="s">
        <v>1127</v>
      </c>
      <c r="D73" s="238"/>
      <c r="E73" s="971">
        <v>1</v>
      </c>
      <c r="F73" s="853"/>
      <c r="G73" s="480">
        <v>0</v>
      </c>
      <c r="H73" s="80">
        <v>1000000</v>
      </c>
      <c r="I73" s="83">
        <v>0</v>
      </c>
      <c r="J73" s="480">
        <v>0</v>
      </c>
      <c r="K73" s="480">
        <v>0</v>
      </c>
      <c r="L73" s="265">
        <f>SUM(G73:K73)</f>
        <v>1000000</v>
      </c>
    </row>
    <row r="74" spans="1:12" ht="56.25">
      <c r="A74" s="70">
        <v>2</v>
      </c>
      <c r="B74" s="89"/>
      <c r="C74" s="81" t="s">
        <v>73</v>
      </c>
      <c r="D74" s="81"/>
      <c r="E74" s="972"/>
      <c r="F74" s="853" t="s">
        <v>1536</v>
      </c>
      <c r="G74" s="480">
        <v>0</v>
      </c>
      <c r="H74" s="480">
        <v>0</v>
      </c>
      <c r="I74" s="480">
        <v>0</v>
      </c>
      <c r="J74" s="480">
        <v>0</v>
      </c>
      <c r="K74" s="961">
        <v>2000000</v>
      </c>
      <c r="L74" s="480">
        <f t="shared" ref="L74:L99" si="13">SUM(G74:K74)</f>
        <v>2000000</v>
      </c>
    </row>
    <row r="75" spans="1:12" ht="128.25" customHeight="1">
      <c r="A75" s="70">
        <v>3</v>
      </c>
      <c r="B75" s="854" t="s">
        <v>1117</v>
      </c>
      <c r="C75" s="95" t="s">
        <v>900</v>
      </c>
      <c r="D75" s="81" t="s">
        <v>901</v>
      </c>
      <c r="E75" s="971">
        <v>0.69540000000000002</v>
      </c>
      <c r="F75" s="858" t="s">
        <v>1489</v>
      </c>
      <c r="G75" s="480">
        <v>0</v>
      </c>
      <c r="H75" s="480">
        <f>0+194454.95-2983.22</f>
        <v>191471.73</v>
      </c>
      <c r="I75" s="480">
        <v>0</v>
      </c>
      <c r="J75" s="480">
        <v>0</v>
      </c>
      <c r="K75" s="266">
        <v>3316298.98</v>
      </c>
      <c r="L75" s="265">
        <f t="shared" si="13"/>
        <v>3507770.71</v>
      </c>
    </row>
    <row r="76" spans="1:12" ht="56.25">
      <c r="A76" s="76">
        <v>4</v>
      </c>
      <c r="B76" s="89" t="s">
        <v>1045</v>
      </c>
      <c r="C76" s="332" t="s">
        <v>16</v>
      </c>
      <c r="D76" s="332" t="s">
        <v>695</v>
      </c>
      <c r="E76" s="971">
        <v>0.96</v>
      </c>
      <c r="F76" s="286"/>
      <c r="G76" s="265">
        <v>0</v>
      </c>
      <c r="H76" s="266">
        <f>1800000+103233.91</f>
        <v>1903233.91</v>
      </c>
      <c r="I76" s="480">
        <v>0</v>
      </c>
      <c r="J76" s="265">
        <v>0</v>
      </c>
      <c r="K76" s="265">
        <v>0</v>
      </c>
      <c r="L76" s="265">
        <f t="shared" si="13"/>
        <v>1903233.91</v>
      </c>
    </row>
    <row r="77" spans="1:12" ht="75">
      <c r="A77" s="84">
        <v>5</v>
      </c>
      <c r="B77" s="854"/>
      <c r="C77" s="333" t="s">
        <v>17</v>
      </c>
      <c r="D77" s="333"/>
      <c r="E77" s="971"/>
      <c r="F77" s="858" t="s">
        <v>1565</v>
      </c>
      <c r="G77" s="334">
        <v>0</v>
      </c>
      <c r="H77" s="886">
        <f>8000000-1628368-207.01-3959275.63-61223.52-417351.68-250000-320000-168541.65-1195032.51</f>
        <v>0</v>
      </c>
      <c r="I77" s="961">
        <f>2000000+1628368-1000000</f>
        <v>2628368</v>
      </c>
      <c r="J77" s="334">
        <v>0</v>
      </c>
      <c r="K77" s="334">
        <v>0</v>
      </c>
      <c r="L77" s="334">
        <f t="shared" si="13"/>
        <v>2628368</v>
      </c>
    </row>
    <row r="78" spans="1:12" ht="37.5">
      <c r="A78" s="429">
        <v>5.0999999999999996</v>
      </c>
      <c r="B78" s="882" t="s">
        <v>902</v>
      </c>
      <c r="C78" s="108" t="s">
        <v>857</v>
      </c>
      <c r="D78" s="108"/>
      <c r="E78" s="971">
        <v>0.28000000000000003</v>
      </c>
      <c r="F78" s="853"/>
      <c r="G78" s="334">
        <v>0</v>
      </c>
      <c r="H78" s="430">
        <v>207.01</v>
      </c>
      <c r="I78" s="339">
        <v>0</v>
      </c>
      <c r="J78" s="334">
        <v>0</v>
      </c>
      <c r="K78" s="334">
        <v>0</v>
      </c>
      <c r="L78" s="334">
        <f t="shared" si="13"/>
        <v>207.01</v>
      </c>
    </row>
    <row r="79" spans="1:12" ht="120.75" customHeight="1">
      <c r="A79" s="429">
        <v>5.2</v>
      </c>
      <c r="B79" s="857" t="s">
        <v>958</v>
      </c>
      <c r="C79" s="108" t="s">
        <v>894</v>
      </c>
      <c r="D79" s="108"/>
      <c r="E79" s="971">
        <v>0.38</v>
      </c>
      <c r="F79" s="858" t="s">
        <v>1490</v>
      </c>
      <c r="G79" s="441">
        <v>0</v>
      </c>
      <c r="H79" s="430">
        <f>3959275.63-161122.06</f>
        <v>3798153.57</v>
      </c>
      <c r="I79" s="339">
        <v>0</v>
      </c>
      <c r="J79" s="334">
        <v>0</v>
      </c>
      <c r="K79" s="334">
        <v>0</v>
      </c>
      <c r="L79" s="334">
        <f t="shared" si="13"/>
        <v>3798153.57</v>
      </c>
    </row>
    <row r="80" spans="1:12" ht="99.75" customHeight="1">
      <c r="A80" s="429">
        <v>5.3</v>
      </c>
      <c r="B80" s="882" t="s">
        <v>869</v>
      </c>
      <c r="C80" s="75" t="s">
        <v>983</v>
      </c>
      <c r="D80" s="108" t="s">
        <v>986</v>
      </c>
      <c r="E80" s="973">
        <v>1</v>
      </c>
      <c r="F80" s="858" t="s">
        <v>1491</v>
      </c>
      <c r="G80" s="441">
        <v>0</v>
      </c>
      <c r="H80" s="430">
        <f>250000+176624.21-43522.46</f>
        <v>383101.74999999994</v>
      </c>
      <c r="I80" s="339">
        <v>0</v>
      </c>
      <c r="J80" s="334">
        <v>0</v>
      </c>
      <c r="K80" s="334">
        <v>0</v>
      </c>
      <c r="L80" s="334">
        <f t="shared" si="13"/>
        <v>383101.74999999994</v>
      </c>
    </row>
    <row r="81" spans="1:12" ht="56.25">
      <c r="A81" s="429">
        <v>5.4</v>
      </c>
      <c r="B81" s="882" t="s">
        <v>563</v>
      </c>
      <c r="C81" s="75" t="s">
        <v>984</v>
      </c>
      <c r="D81" s="108" t="s">
        <v>987</v>
      </c>
      <c r="E81" s="974">
        <v>1</v>
      </c>
      <c r="F81" s="866"/>
      <c r="G81" s="441">
        <v>0</v>
      </c>
      <c r="H81" s="430">
        <f>320000-14901.67</f>
        <v>305098.33</v>
      </c>
      <c r="I81" s="339">
        <v>0</v>
      </c>
      <c r="J81" s="334">
        <v>0</v>
      </c>
      <c r="K81" s="334">
        <v>0</v>
      </c>
      <c r="L81" s="334">
        <f t="shared" si="13"/>
        <v>305098.33</v>
      </c>
    </row>
    <row r="82" spans="1:12" ht="56.25">
      <c r="A82" s="84">
        <v>5.5</v>
      </c>
      <c r="B82" s="882" t="s">
        <v>570</v>
      </c>
      <c r="C82" s="75" t="s">
        <v>985</v>
      </c>
      <c r="D82" s="333" t="s">
        <v>988</v>
      </c>
      <c r="E82" s="973">
        <v>1</v>
      </c>
      <c r="F82" s="866"/>
      <c r="G82" s="441">
        <v>0</v>
      </c>
      <c r="H82" s="430">
        <v>168541.65</v>
      </c>
      <c r="I82" s="339">
        <v>0</v>
      </c>
      <c r="J82" s="334">
        <v>0</v>
      </c>
      <c r="K82" s="334">
        <v>0</v>
      </c>
      <c r="L82" s="334">
        <f t="shared" si="13"/>
        <v>168541.65</v>
      </c>
    </row>
    <row r="83" spans="1:12" ht="95.25" customHeight="1">
      <c r="A83" s="429">
        <v>5.6</v>
      </c>
      <c r="B83" s="882" t="s">
        <v>1380</v>
      </c>
      <c r="C83" s="888" t="s">
        <v>1172</v>
      </c>
      <c r="D83" s="108"/>
      <c r="E83" s="973">
        <v>1</v>
      </c>
      <c r="F83" s="858" t="s">
        <v>1492</v>
      </c>
      <c r="G83" s="441">
        <v>0</v>
      </c>
      <c r="H83" s="430">
        <f>1195032.51-107.97</f>
        <v>1194924.54</v>
      </c>
      <c r="I83" s="339">
        <v>0</v>
      </c>
      <c r="J83" s="441">
        <v>0</v>
      </c>
      <c r="K83" s="441">
        <v>0</v>
      </c>
      <c r="L83" s="334">
        <f t="shared" si="13"/>
        <v>1194924.54</v>
      </c>
    </row>
    <row r="84" spans="1:12" ht="37.5">
      <c r="A84" s="113">
        <v>6</v>
      </c>
      <c r="B84" s="854"/>
      <c r="C84" s="238" t="s">
        <v>696</v>
      </c>
      <c r="D84" s="238" t="s">
        <v>697</v>
      </c>
      <c r="E84" s="975"/>
      <c r="F84" s="866" t="s">
        <v>1554</v>
      </c>
      <c r="G84" s="335">
        <v>0</v>
      </c>
      <c r="H84" s="335">
        <v>0</v>
      </c>
      <c r="I84" s="962">
        <v>25000000</v>
      </c>
      <c r="J84" s="83">
        <v>25000000</v>
      </c>
      <c r="K84" s="335">
        <v>0</v>
      </c>
      <c r="L84" s="265">
        <f t="shared" si="13"/>
        <v>50000000</v>
      </c>
    </row>
    <row r="85" spans="1:12" ht="56.25">
      <c r="A85" s="70">
        <v>7</v>
      </c>
      <c r="B85" s="854"/>
      <c r="C85" s="81" t="s">
        <v>698</v>
      </c>
      <c r="D85" s="81" t="s">
        <v>697</v>
      </c>
      <c r="E85" s="972"/>
      <c r="F85" s="853" t="s">
        <v>1554</v>
      </c>
      <c r="G85" s="480">
        <v>0</v>
      </c>
      <c r="H85" s="480">
        <v>10500000</v>
      </c>
      <c r="I85" s="962">
        <v>24500000</v>
      </c>
      <c r="J85" s="72">
        <v>30000000</v>
      </c>
      <c r="K85" s="480">
        <v>0</v>
      </c>
      <c r="L85" s="265">
        <f t="shared" si="13"/>
        <v>65000000</v>
      </c>
    </row>
    <row r="86" spans="1:12" ht="18.75">
      <c r="A86" s="84">
        <v>8</v>
      </c>
      <c r="B86" s="854" t="s">
        <v>820</v>
      </c>
      <c r="C86" s="333" t="s">
        <v>775</v>
      </c>
      <c r="D86" s="551"/>
      <c r="E86" s="973">
        <v>0.43</v>
      </c>
      <c r="F86" s="858"/>
      <c r="G86" s="334">
        <v>0</v>
      </c>
      <c r="H86" s="334">
        <v>0</v>
      </c>
      <c r="I86" s="334">
        <v>0</v>
      </c>
      <c r="J86" s="334">
        <f>0+7500000+3500000</f>
        <v>11000000</v>
      </c>
      <c r="K86" s="334">
        <v>0</v>
      </c>
      <c r="L86" s="265">
        <f t="shared" si="13"/>
        <v>11000000</v>
      </c>
    </row>
    <row r="87" spans="1:12" ht="56.25">
      <c r="A87" s="336">
        <v>9</v>
      </c>
      <c r="B87" s="854" t="s">
        <v>1157</v>
      </c>
      <c r="C87" s="333" t="s">
        <v>1048</v>
      </c>
      <c r="D87" s="333" t="s">
        <v>694</v>
      </c>
      <c r="E87" s="973">
        <v>0.65</v>
      </c>
      <c r="F87" s="892"/>
      <c r="G87" s="334">
        <v>0</v>
      </c>
      <c r="H87" s="334">
        <v>0</v>
      </c>
      <c r="I87" s="334">
        <f>0+1000000</f>
        <v>1000000</v>
      </c>
      <c r="J87" s="334">
        <v>0</v>
      </c>
      <c r="K87" s="334">
        <v>0</v>
      </c>
      <c r="L87" s="480">
        <f t="shared" si="13"/>
        <v>1000000</v>
      </c>
    </row>
    <row r="88" spans="1:12" ht="225">
      <c r="A88" s="336">
        <v>10</v>
      </c>
      <c r="B88" s="857" t="s">
        <v>1113</v>
      </c>
      <c r="C88" s="893" t="s">
        <v>1101</v>
      </c>
      <c r="D88" s="893" t="s">
        <v>777</v>
      </c>
      <c r="E88" s="973">
        <v>0.08</v>
      </c>
      <c r="F88" s="858" t="s">
        <v>1537</v>
      </c>
      <c r="G88" s="334">
        <v>0</v>
      </c>
      <c r="H88" s="334">
        <f>3000000-2755152.83-244847.17</f>
        <v>0</v>
      </c>
      <c r="I88" s="334">
        <v>0</v>
      </c>
      <c r="J88" s="334">
        <v>0</v>
      </c>
      <c r="K88" s="334">
        <v>0</v>
      </c>
      <c r="L88" s="480">
        <f t="shared" si="13"/>
        <v>0</v>
      </c>
    </row>
    <row r="89" spans="1:12" ht="56.25">
      <c r="A89" s="336">
        <v>11</v>
      </c>
      <c r="B89" s="854"/>
      <c r="C89" s="333" t="s">
        <v>778</v>
      </c>
      <c r="D89" s="333"/>
      <c r="E89" s="973"/>
      <c r="F89" s="853"/>
      <c r="G89" s="334">
        <v>0</v>
      </c>
      <c r="H89" s="334">
        <v>0</v>
      </c>
      <c r="I89" s="480">
        <f>0+1000000</f>
        <v>1000000</v>
      </c>
      <c r="J89" s="334">
        <v>0</v>
      </c>
      <c r="K89" s="334">
        <v>0</v>
      </c>
      <c r="L89" s="265">
        <f t="shared" si="13"/>
        <v>1000000</v>
      </c>
    </row>
    <row r="90" spans="1:12" ht="37.5">
      <c r="A90" s="115">
        <v>12</v>
      </c>
      <c r="B90" s="882" t="s">
        <v>1212</v>
      </c>
      <c r="C90" s="333" t="s">
        <v>779</v>
      </c>
      <c r="D90" s="94" t="s">
        <v>780</v>
      </c>
      <c r="E90" s="973">
        <v>0.8</v>
      </c>
      <c r="F90" s="858"/>
      <c r="G90" s="480">
        <v>0</v>
      </c>
      <c r="H90" s="480">
        <v>45522.7</v>
      </c>
      <c r="I90" s="480">
        <v>300000</v>
      </c>
      <c r="J90" s="480">
        <v>0</v>
      </c>
      <c r="K90" s="334">
        <v>0</v>
      </c>
      <c r="L90" s="480">
        <f t="shared" si="13"/>
        <v>345522.7</v>
      </c>
    </row>
    <row r="91" spans="1:12" ht="37.5">
      <c r="A91" s="76">
        <v>13</v>
      </c>
      <c r="B91" s="854"/>
      <c r="C91" s="332" t="s">
        <v>903</v>
      </c>
      <c r="D91" s="324"/>
      <c r="E91" s="973"/>
      <c r="F91" s="856" t="s">
        <v>1554</v>
      </c>
      <c r="G91" s="265">
        <v>0</v>
      </c>
      <c r="H91" s="265">
        <v>0</v>
      </c>
      <c r="I91" s="963">
        <v>4000000</v>
      </c>
      <c r="J91" s="265">
        <v>0</v>
      </c>
      <c r="K91" s="265">
        <v>0</v>
      </c>
      <c r="L91" s="265">
        <f t="shared" si="13"/>
        <v>4000000</v>
      </c>
    </row>
    <row r="92" spans="1:12" ht="37.5">
      <c r="A92" s="76">
        <v>14</v>
      </c>
      <c r="B92" s="854" t="s">
        <v>1213</v>
      </c>
      <c r="C92" s="243" t="s">
        <v>1062</v>
      </c>
      <c r="D92" s="607"/>
      <c r="E92" s="973">
        <v>0.39</v>
      </c>
      <c r="F92" s="889"/>
      <c r="G92" s="265">
        <v>0</v>
      </c>
      <c r="H92" s="265">
        <v>0</v>
      </c>
      <c r="I92" s="265">
        <v>3000000</v>
      </c>
      <c r="J92" s="265">
        <v>1000000</v>
      </c>
      <c r="K92" s="265">
        <v>0</v>
      </c>
      <c r="L92" s="265">
        <f t="shared" si="13"/>
        <v>4000000</v>
      </c>
    </row>
    <row r="93" spans="1:12" ht="46.9" customHeight="1">
      <c r="A93" s="76">
        <v>15</v>
      </c>
      <c r="B93" s="890" t="s">
        <v>1214</v>
      </c>
      <c r="C93" s="243" t="s">
        <v>1173</v>
      </c>
      <c r="D93" s="887" t="s">
        <v>1174</v>
      </c>
      <c r="E93" s="973">
        <v>0.2903</v>
      </c>
      <c r="F93" s="889"/>
      <c r="G93" s="265">
        <v>0</v>
      </c>
      <c r="H93" s="265">
        <v>98851.06</v>
      </c>
      <c r="I93" s="265">
        <v>0</v>
      </c>
      <c r="J93" s="265">
        <v>0</v>
      </c>
      <c r="K93" s="265">
        <v>0</v>
      </c>
      <c r="L93" s="265">
        <f t="shared" si="13"/>
        <v>98851.06</v>
      </c>
    </row>
    <row r="94" spans="1:12" ht="37.5">
      <c r="A94" s="76">
        <v>16</v>
      </c>
      <c r="B94" s="890" t="s">
        <v>1215</v>
      </c>
      <c r="C94" s="243" t="s">
        <v>1175</v>
      </c>
      <c r="D94" s="887" t="s">
        <v>1174</v>
      </c>
      <c r="E94" s="973">
        <v>0.32</v>
      </c>
      <c r="F94" s="889"/>
      <c r="G94" s="265">
        <v>0</v>
      </c>
      <c r="H94" s="265">
        <v>54118.49</v>
      </c>
      <c r="I94" s="265">
        <v>0</v>
      </c>
      <c r="J94" s="265">
        <v>0</v>
      </c>
      <c r="K94" s="265">
        <v>0</v>
      </c>
      <c r="L94" s="265">
        <f t="shared" si="13"/>
        <v>54118.49</v>
      </c>
    </row>
    <row r="95" spans="1:12" ht="131.25">
      <c r="A95" s="76">
        <v>17</v>
      </c>
      <c r="B95" s="890" t="s">
        <v>368</v>
      </c>
      <c r="C95" s="243" t="s">
        <v>369</v>
      </c>
      <c r="D95" s="894"/>
      <c r="E95" s="973">
        <v>0.95350000000000001</v>
      </c>
      <c r="F95" s="858" t="s">
        <v>1538</v>
      </c>
      <c r="G95" s="265">
        <v>0</v>
      </c>
      <c r="H95" s="265">
        <v>6575792.5300000003</v>
      </c>
      <c r="I95" s="265">
        <v>0</v>
      </c>
      <c r="J95" s="265">
        <v>0</v>
      </c>
      <c r="K95" s="265">
        <v>0</v>
      </c>
      <c r="L95" s="265">
        <f t="shared" si="13"/>
        <v>6575792.5300000003</v>
      </c>
    </row>
    <row r="96" spans="1:12" ht="56.25">
      <c r="A96" s="76">
        <v>18</v>
      </c>
      <c r="B96" s="890" t="s">
        <v>855</v>
      </c>
      <c r="C96" s="243" t="s">
        <v>822</v>
      </c>
      <c r="D96" s="944"/>
      <c r="E96" s="973">
        <v>0.98</v>
      </c>
      <c r="F96" s="858" t="s">
        <v>1548</v>
      </c>
      <c r="G96" s="265">
        <v>0</v>
      </c>
      <c r="H96" s="265">
        <v>276655.09000000003</v>
      </c>
      <c r="I96" s="265">
        <v>0</v>
      </c>
      <c r="J96" s="265">
        <v>0</v>
      </c>
      <c r="K96" s="265">
        <v>0</v>
      </c>
      <c r="L96" s="265">
        <f t="shared" si="13"/>
        <v>276655.09000000003</v>
      </c>
    </row>
    <row r="97" spans="1:12" ht="279.75" customHeight="1">
      <c r="A97" s="964">
        <v>19</v>
      </c>
      <c r="B97" s="890"/>
      <c r="C97" s="243" t="s">
        <v>1561</v>
      </c>
      <c r="D97" s="887" t="s">
        <v>1562</v>
      </c>
      <c r="E97" s="887"/>
      <c r="F97" s="858" t="s">
        <v>1560</v>
      </c>
      <c r="G97" s="265">
        <v>0</v>
      </c>
      <c r="H97" s="265">
        <v>0</v>
      </c>
      <c r="I97" s="265">
        <v>0</v>
      </c>
      <c r="J97" s="265">
        <v>4400000</v>
      </c>
      <c r="K97" s="265">
        <v>0</v>
      </c>
      <c r="L97" s="265">
        <f t="shared" si="13"/>
        <v>4400000</v>
      </c>
    </row>
    <row r="98" spans="1:12" ht="37.5">
      <c r="A98" s="964">
        <v>20</v>
      </c>
      <c r="B98" s="890"/>
      <c r="C98" s="243" t="s">
        <v>1563</v>
      </c>
      <c r="D98" s="944"/>
      <c r="E98" s="944"/>
      <c r="F98" s="858" t="s">
        <v>1560</v>
      </c>
      <c r="G98" s="265">
        <v>0</v>
      </c>
      <c r="H98" s="265">
        <v>0</v>
      </c>
      <c r="I98" s="265">
        <v>0</v>
      </c>
      <c r="J98" s="265">
        <v>3000000</v>
      </c>
      <c r="K98" s="265">
        <v>0</v>
      </c>
      <c r="L98" s="265">
        <f t="shared" si="13"/>
        <v>3000000</v>
      </c>
    </row>
    <row r="99" spans="1:12" ht="105">
      <c r="A99" s="964">
        <v>21</v>
      </c>
      <c r="B99" s="890"/>
      <c r="C99" s="29" t="s">
        <v>1564</v>
      </c>
      <c r="D99" s="944"/>
      <c r="E99" s="976"/>
      <c r="F99" s="858" t="s">
        <v>1560</v>
      </c>
      <c r="G99" s="265">
        <v>0</v>
      </c>
      <c r="H99" s="265">
        <v>0</v>
      </c>
      <c r="I99" s="265">
        <v>0</v>
      </c>
      <c r="J99" s="265">
        <v>1400000</v>
      </c>
      <c r="K99" s="265">
        <v>0</v>
      </c>
      <c r="L99" s="265">
        <f t="shared" si="13"/>
        <v>1400000</v>
      </c>
    </row>
    <row r="100" spans="1:12" ht="18.75">
      <c r="A100" s="76"/>
      <c r="B100" s="890"/>
      <c r="C100" s="932"/>
      <c r="D100" s="944"/>
      <c r="E100" s="976"/>
      <c r="F100" s="858"/>
      <c r="G100" s="265"/>
      <c r="H100" s="265"/>
      <c r="I100" s="265"/>
      <c r="J100" s="265"/>
      <c r="K100" s="265"/>
      <c r="L100" s="265"/>
    </row>
    <row r="101" spans="1:12" ht="19.5" thickBot="1">
      <c r="A101" s="860"/>
      <c r="B101" s="862"/>
      <c r="C101" s="861" t="s">
        <v>6</v>
      </c>
      <c r="D101" s="862"/>
      <c r="E101" s="965"/>
      <c r="F101" s="891"/>
      <c r="G101" s="897">
        <v>0</v>
      </c>
      <c r="H101" s="864">
        <f>SUM(H73:H99)</f>
        <v>26495672.359999996</v>
      </c>
      <c r="I101" s="864">
        <f t="shared" ref="I101:K101" si="14">SUM(I73:I99)</f>
        <v>61428368</v>
      </c>
      <c r="J101" s="864">
        <f t="shared" si="14"/>
        <v>75800000</v>
      </c>
      <c r="K101" s="864">
        <f t="shared" si="14"/>
        <v>5316298.9800000004</v>
      </c>
      <c r="L101" s="864">
        <f>SUM(L73:L99)</f>
        <v>169040339.34</v>
      </c>
    </row>
    <row r="102" spans="1:12" ht="15.75">
      <c r="A102" s="19"/>
      <c r="B102" s="227"/>
      <c r="C102" s="29"/>
      <c r="D102" s="29"/>
      <c r="E102" s="29"/>
      <c r="F102" s="592"/>
      <c r="G102" s="39"/>
      <c r="H102" s="39"/>
      <c r="I102" s="39"/>
      <c r="J102" s="39"/>
      <c r="K102" s="39"/>
      <c r="L102" s="40"/>
    </row>
    <row r="103" spans="1:12" ht="15.75">
      <c r="A103" s="19"/>
      <c r="B103" s="227"/>
      <c r="C103" s="29"/>
      <c r="D103" s="29"/>
      <c r="E103" s="29"/>
      <c r="F103" s="592"/>
      <c r="G103" s="39"/>
      <c r="H103" s="39"/>
      <c r="I103" s="39"/>
      <c r="J103" s="39"/>
      <c r="K103" s="39"/>
      <c r="L103" s="40"/>
    </row>
    <row r="104" spans="1:12" ht="18.75">
      <c r="A104" s="100"/>
      <c r="B104" s="271"/>
      <c r="C104" s="102" t="s">
        <v>18</v>
      </c>
      <c r="D104" s="99"/>
      <c r="E104" s="99"/>
      <c r="F104" s="272"/>
      <c r="G104" s="107">
        <f>SUM(G105:G111)</f>
        <v>0</v>
      </c>
      <c r="H104" s="107">
        <f t="shared" ref="H104:K104" si="15">SUM(H105:H111)</f>
        <v>2443919.3199999998</v>
      </c>
      <c r="I104" s="107">
        <f t="shared" si="15"/>
        <v>80000</v>
      </c>
      <c r="J104" s="107">
        <f t="shared" si="15"/>
        <v>0</v>
      </c>
      <c r="K104" s="107">
        <f t="shared" si="15"/>
        <v>0</v>
      </c>
      <c r="L104" s="107">
        <f>SUM(G104:K104)</f>
        <v>2523919.3199999998</v>
      </c>
    </row>
    <row r="105" spans="1:12" ht="73.5" customHeight="1">
      <c r="A105" s="84">
        <v>1</v>
      </c>
      <c r="B105" s="854" t="s">
        <v>1359</v>
      </c>
      <c r="C105" s="85" t="s">
        <v>19</v>
      </c>
      <c r="D105" s="85" t="s">
        <v>694</v>
      </c>
      <c r="E105" s="973">
        <v>0.48</v>
      </c>
      <c r="F105" s="858" t="s">
        <v>1494</v>
      </c>
      <c r="G105" s="480">
        <v>0</v>
      </c>
      <c r="H105" s="82">
        <f>1000000+59165.71</f>
        <v>1059165.71</v>
      </c>
      <c r="I105" s="480">
        <v>0</v>
      </c>
      <c r="J105" s="480">
        <v>0</v>
      </c>
      <c r="K105" s="480">
        <v>0</v>
      </c>
      <c r="L105" s="265">
        <f>SUM(G105:K105)</f>
        <v>1059165.71</v>
      </c>
    </row>
    <row r="106" spans="1:12" ht="18.75">
      <c r="A106" s="84">
        <v>2</v>
      </c>
      <c r="B106" s="854"/>
      <c r="C106" s="902" t="s">
        <v>20</v>
      </c>
      <c r="D106" s="79"/>
      <c r="E106" s="973"/>
      <c r="F106" s="853"/>
      <c r="G106" s="78"/>
      <c r="H106" s="82"/>
      <c r="I106" s="78"/>
      <c r="J106" s="78"/>
      <c r="K106" s="78"/>
      <c r="L106" s="265">
        <f>SUM(I106:K106)</f>
        <v>0</v>
      </c>
    </row>
    <row r="107" spans="1:12" ht="18.75">
      <c r="A107" s="84">
        <v>2.1</v>
      </c>
      <c r="B107" s="854"/>
      <c r="C107" s="902" t="s">
        <v>21</v>
      </c>
      <c r="D107" s="79"/>
      <c r="E107" s="973"/>
      <c r="F107" s="853"/>
      <c r="G107" s="480">
        <v>0</v>
      </c>
      <c r="H107" s="82">
        <f>2849679.22-500000-375000-500000-45522.7-9753.61-103233.91-89903.88-81211.42-529885.52-615168.18</f>
        <v>0</v>
      </c>
      <c r="I107" s="480">
        <v>0</v>
      </c>
      <c r="J107" s="480">
        <v>0</v>
      </c>
      <c r="K107" s="480">
        <v>0</v>
      </c>
      <c r="L107" s="265">
        <f>SUM(G107:K107)</f>
        <v>0</v>
      </c>
    </row>
    <row r="108" spans="1:12" ht="18.75">
      <c r="A108" s="84" t="s">
        <v>1063</v>
      </c>
      <c r="B108" s="854"/>
      <c r="C108" s="79" t="s">
        <v>1064</v>
      </c>
      <c r="D108" s="79" t="s">
        <v>694</v>
      </c>
      <c r="E108" s="973"/>
      <c r="F108" s="853"/>
      <c r="G108" s="480">
        <v>0</v>
      </c>
      <c r="H108" s="82">
        <v>500000</v>
      </c>
      <c r="I108" s="480">
        <v>0</v>
      </c>
      <c r="J108" s="480">
        <v>0</v>
      </c>
      <c r="K108" s="480">
        <v>0</v>
      </c>
      <c r="L108" s="480">
        <f t="shared" ref="L108:L110" si="16">SUM(G108:K108)</f>
        <v>500000</v>
      </c>
    </row>
    <row r="109" spans="1:12" ht="42" customHeight="1">
      <c r="A109" s="895" t="s">
        <v>1065</v>
      </c>
      <c r="B109" s="854"/>
      <c r="C109" s="79" t="s">
        <v>1066</v>
      </c>
      <c r="D109" s="896" t="s">
        <v>88</v>
      </c>
      <c r="E109" s="973"/>
      <c r="F109" s="853"/>
      <c r="G109" s="480">
        <v>0</v>
      </c>
      <c r="H109" s="267">
        <v>375000</v>
      </c>
      <c r="I109" s="480">
        <v>0</v>
      </c>
      <c r="J109" s="480">
        <v>0</v>
      </c>
      <c r="K109" s="480">
        <v>0</v>
      </c>
      <c r="L109" s="265">
        <f t="shared" si="16"/>
        <v>375000</v>
      </c>
    </row>
    <row r="110" spans="1:12" ht="37.5">
      <c r="A110" s="895" t="s">
        <v>1067</v>
      </c>
      <c r="B110" s="854"/>
      <c r="C110" s="79" t="s">
        <v>1068</v>
      </c>
      <c r="D110" s="896" t="s">
        <v>1069</v>
      </c>
      <c r="E110" s="973"/>
      <c r="F110" s="853"/>
      <c r="G110" s="480">
        <v>0</v>
      </c>
      <c r="H110" s="267">
        <v>500000</v>
      </c>
      <c r="I110" s="480">
        <v>0</v>
      </c>
      <c r="J110" s="480">
        <v>0</v>
      </c>
      <c r="K110" s="480">
        <v>0</v>
      </c>
      <c r="L110" s="265">
        <f t="shared" si="16"/>
        <v>500000</v>
      </c>
    </row>
    <row r="111" spans="1:12" ht="37.5">
      <c r="A111" s="76">
        <v>3</v>
      </c>
      <c r="B111" s="857" t="s">
        <v>1112</v>
      </c>
      <c r="C111" s="79" t="s">
        <v>781</v>
      </c>
      <c r="D111" s="337"/>
      <c r="E111" s="973">
        <v>0</v>
      </c>
      <c r="F111" s="853"/>
      <c r="G111" s="265">
        <v>0</v>
      </c>
      <c r="H111" s="267">
        <v>9753.61</v>
      </c>
      <c r="I111" s="265">
        <v>80000</v>
      </c>
      <c r="J111" s="265">
        <v>0</v>
      </c>
      <c r="K111" s="265">
        <v>0</v>
      </c>
      <c r="L111" s="480">
        <f>SUM(G111:K111)</f>
        <v>89753.61</v>
      </c>
    </row>
    <row r="112" spans="1:12" ht="19.5" thickBot="1">
      <c r="A112" s="860"/>
      <c r="B112" s="862"/>
      <c r="C112" s="861" t="s">
        <v>6</v>
      </c>
      <c r="D112" s="862"/>
      <c r="E112" s="862"/>
      <c r="F112" s="885"/>
      <c r="G112" s="897">
        <v>0</v>
      </c>
      <c r="H112" s="864">
        <f>SUM(H105:H111)</f>
        <v>2443919.3199999998</v>
      </c>
      <c r="I112" s="864">
        <f t="shared" ref="I112" si="17">SUM(I105:I111)</f>
        <v>80000</v>
      </c>
      <c r="J112" s="897">
        <v>0</v>
      </c>
      <c r="K112" s="897">
        <v>0</v>
      </c>
      <c r="L112" s="864">
        <f>SUM(L105:L111)</f>
        <v>2523919.3199999998</v>
      </c>
    </row>
    <row r="113" spans="1:12" ht="15.75">
      <c r="A113" s="19"/>
      <c r="B113" s="227"/>
      <c r="C113" s="29"/>
      <c r="D113" s="29"/>
      <c r="E113" s="29"/>
      <c r="F113" s="592"/>
      <c r="G113" s="30"/>
      <c r="H113" s="30"/>
      <c r="I113" s="30"/>
      <c r="J113" s="30"/>
      <c r="K113" s="30"/>
      <c r="L113" s="31"/>
    </row>
    <row r="114" spans="1:12" ht="15.75">
      <c r="A114" s="19"/>
      <c r="B114" s="227"/>
      <c r="C114" s="29"/>
      <c r="D114" s="29"/>
      <c r="E114" s="29"/>
      <c r="F114" s="592"/>
      <c r="G114" s="30"/>
      <c r="H114" s="30"/>
      <c r="I114" s="30"/>
      <c r="J114" s="30"/>
      <c r="K114" s="30"/>
      <c r="L114" s="31"/>
    </row>
    <row r="115" spans="1:12" ht="18.75">
      <c r="A115" s="100"/>
      <c r="B115" s="271"/>
      <c r="C115" s="102" t="s">
        <v>22</v>
      </c>
      <c r="D115" s="99"/>
      <c r="E115" s="99"/>
      <c r="F115" s="272"/>
      <c r="G115" s="107">
        <f>SUM(G116:G130)</f>
        <v>0</v>
      </c>
      <c r="H115" s="107">
        <f t="shared" ref="H115:K115" si="18">SUM(H116:H130)</f>
        <v>2985354.96</v>
      </c>
      <c r="I115" s="107">
        <f t="shared" si="18"/>
        <v>946169.42</v>
      </c>
      <c r="J115" s="107">
        <f t="shared" si="18"/>
        <v>57250000</v>
      </c>
      <c r="K115" s="107">
        <f t="shared" si="18"/>
        <v>11386650.9</v>
      </c>
      <c r="L115" s="107">
        <f>SUM(G115:K115)</f>
        <v>72568175.280000001</v>
      </c>
    </row>
    <row r="116" spans="1:12" ht="18.75">
      <c r="A116" s="70">
        <v>1</v>
      </c>
      <c r="B116" s="854"/>
      <c r="C116" s="903" t="s">
        <v>23</v>
      </c>
      <c r="D116" s="81"/>
      <c r="E116" s="853"/>
      <c r="F116" s="853"/>
      <c r="G116" s="72"/>
      <c r="H116" s="72"/>
      <c r="I116" s="72"/>
      <c r="J116" s="72"/>
      <c r="K116" s="72"/>
      <c r="L116" s="73"/>
    </row>
    <row r="117" spans="1:12" ht="105" customHeight="1">
      <c r="A117" s="338">
        <v>1.1000000000000001</v>
      </c>
      <c r="B117" s="857" t="s">
        <v>953</v>
      </c>
      <c r="C117" s="251" t="s">
        <v>699</v>
      </c>
      <c r="D117" s="251" t="s">
        <v>684</v>
      </c>
      <c r="E117" s="977">
        <v>1</v>
      </c>
      <c r="F117" s="858" t="s">
        <v>1495</v>
      </c>
      <c r="G117" s="334">
        <v>0</v>
      </c>
      <c r="H117" s="78">
        <f>301959.93+81211.42-19129.75</f>
        <v>364041.6</v>
      </c>
      <c r="I117" s="339">
        <v>0</v>
      </c>
      <c r="J117" s="78">
        <v>301959.93</v>
      </c>
      <c r="K117" s="334">
        <v>0</v>
      </c>
      <c r="L117" s="334">
        <f>SUM(G117:K117)</f>
        <v>666001.53</v>
      </c>
    </row>
    <row r="118" spans="1:12" ht="56.25">
      <c r="A118" s="338">
        <v>1.2</v>
      </c>
      <c r="B118" s="854"/>
      <c r="C118" s="901" t="s">
        <v>700</v>
      </c>
      <c r="D118" s="251" t="s">
        <v>701</v>
      </c>
      <c r="E118" s="853"/>
      <c r="F118" s="853"/>
      <c r="G118" s="334">
        <v>0</v>
      </c>
      <c r="H118" s="339">
        <f>1763999.73+59061.11-881999.87-941060.97</f>
        <v>0</v>
      </c>
      <c r="I118" s="339">
        <f>90938.89-59061.11-31877.78</f>
        <v>0</v>
      </c>
      <c r="J118" s="78">
        <f>1763999.73-90938.89-881999.86-791060.98</f>
        <v>0</v>
      </c>
      <c r="K118" s="334">
        <v>0</v>
      </c>
      <c r="L118" s="334">
        <f t="shared" ref="L118:L130" si="19">SUM(G118:K118)</f>
        <v>0</v>
      </c>
    </row>
    <row r="119" spans="1:12" ht="106.5" customHeight="1">
      <c r="A119" s="338" t="s">
        <v>883</v>
      </c>
      <c r="B119" s="89" t="s">
        <v>898</v>
      </c>
      <c r="C119" s="251" t="s">
        <v>881</v>
      </c>
      <c r="D119" s="251"/>
      <c r="E119" s="978">
        <v>1</v>
      </c>
      <c r="F119" s="858" t="s">
        <v>1497</v>
      </c>
      <c r="G119" s="334">
        <v>0</v>
      </c>
      <c r="H119" s="334">
        <f>881999.87-37517.51</f>
        <v>844482.36</v>
      </c>
      <c r="I119" s="334">
        <v>0</v>
      </c>
      <c r="J119" s="78">
        <v>881999.86</v>
      </c>
      <c r="K119" s="334">
        <v>0</v>
      </c>
      <c r="L119" s="334">
        <f t="shared" si="19"/>
        <v>1726482.22</v>
      </c>
    </row>
    <row r="120" spans="1:12" ht="96" customHeight="1">
      <c r="A120" s="338" t="s">
        <v>884</v>
      </c>
      <c r="B120" s="854" t="s">
        <v>887</v>
      </c>
      <c r="C120" s="251" t="s">
        <v>882</v>
      </c>
      <c r="D120" s="251"/>
      <c r="E120" s="978">
        <v>1</v>
      </c>
      <c r="F120" s="858" t="s">
        <v>1498</v>
      </c>
      <c r="G120" s="334">
        <v>0</v>
      </c>
      <c r="H120" s="339">
        <f>941060.97-89012.09</f>
        <v>852048.88</v>
      </c>
      <c r="I120" s="339">
        <v>31877.78</v>
      </c>
      <c r="J120" s="78">
        <v>791060.98</v>
      </c>
      <c r="K120" s="334">
        <v>0</v>
      </c>
      <c r="L120" s="334">
        <f t="shared" si="19"/>
        <v>1674987.6400000001</v>
      </c>
    </row>
    <row r="121" spans="1:12" ht="56.25">
      <c r="A121" s="84">
        <v>1.3</v>
      </c>
      <c r="B121" s="857" t="s">
        <v>954</v>
      </c>
      <c r="C121" s="251" t="s">
        <v>989</v>
      </c>
      <c r="D121" s="251" t="s">
        <v>702</v>
      </c>
      <c r="E121" s="978">
        <v>1</v>
      </c>
      <c r="F121" s="859"/>
      <c r="G121" s="334">
        <v>0</v>
      </c>
      <c r="H121" s="78">
        <f>524979.23+61223.52</f>
        <v>586202.75</v>
      </c>
      <c r="I121" s="78">
        <f>0+664291.64</f>
        <v>664291.64</v>
      </c>
      <c r="J121" s="78">
        <v>524979.23</v>
      </c>
      <c r="K121" s="334">
        <v>0</v>
      </c>
      <c r="L121" s="334">
        <f t="shared" si="19"/>
        <v>1775473.62</v>
      </c>
    </row>
    <row r="122" spans="1:12" ht="37.5">
      <c r="A122" s="70">
        <v>1.4</v>
      </c>
      <c r="B122" s="854"/>
      <c r="C122" s="86" t="s">
        <v>101</v>
      </c>
      <c r="D122" s="86" t="s">
        <v>701</v>
      </c>
      <c r="E122" s="978"/>
      <c r="F122" s="853"/>
      <c r="G122" s="480">
        <v>0</v>
      </c>
      <c r="H122" s="480">
        <v>0</v>
      </c>
      <c r="I122" s="480">
        <v>0</v>
      </c>
      <c r="J122" s="72">
        <v>3000000</v>
      </c>
      <c r="K122" s="480">
        <v>0</v>
      </c>
      <c r="L122" s="265">
        <f t="shared" si="19"/>
        <v>3000000</v>
      </c>
    </row>
    <row r="123" spans="1:12" ht="18.75">
      <c r="A123" s="70">
        <v>2</v>
      </c>
      <c r="B123" s="854"/>
      <c r="C123" s="114" t="s">
        <v>90</v>
      </c>
      <c r="D123" s="87"/>
      <c r="E123" s="978"/>
      <c r="F123" s="853"/>
      <c r="G123" s="72"/>
      <c r="H123" s="72"/>
      <c r="I123" s="83"/>
      <c r="J123" s="72"/>
      <c r="K123" s="72">
        <f>11397623.4-4000000-4000000-997500-1500000-900123.4</f>
        <v>0</v>
      </c>
      <c r="L123" s="265">
        <f t="shared" si="19"/>
        <v>0</v>
      </c>
    </row>
    <row r="124" spans="1:12" ht="18.75">
      <c r="A124" s="70">
        <v>2.1</v>
      </c>
      <c r="B124" s="854"/>
      <c r="C124" s="86" t="s">
        <v>102</v>
      </c>
      <c r="D124" s="86" t="s">
        <v>695</v>
      </c>
      <c r="E124" s="978"/>
      <c r="F124" s="853"/>
      <c r="G124" s="480">
        <v>0</v>
      </c>
      <c r="H124" s="480">
        <v>0</v>
      </c>
      <c r="I124" s="480">
        <v>0</v>
      </c>
      <c r="J124" s="480">
        <v>0</v>
      </c>
      <c r="K124" s="72">
        <v>4000000</v>
      </c>
      <c r="L124" s="265">
        <f t="shared" si="19"/>
        <v>4000000</v>
      </c>
    </row>
    <row r="125" spans="1:12" ht="37.5">
      <c r="A125" s="70">
        <v>2.2000000000000002</v>
      </c>
      <c r="B125" s="854"/>
      <c r="C125" s="86" t="s">
        <v>103</v>
      </c>
      <c r="D125" s="86" t="s">
        <v>686</v>
      </c>
      <c r="E125" s="978"/>
      <c r="F125" s="853"/>
      <c r="G125" s="480">
        <v>0</v>
      </c>
      <c r="H125" s="480">
        <v>0</v>
      </c>
      <c r="I125" s="480">
        <v>0</v>
      </c>
      <c r="J125" s="480">
        <v>0</v>
      </c>
      <c r="K125" s="72">
        <v>4000000</v>
      </c>
      <c r="L125" s="265">
        <f t="shared" si="19"/>
        <v>4000000</v>
      </c>
    </row>
    <row r="126" spans="1:12" ht="112.5">
      <c r="A126" s="70">
        <v>2.2999999999999998</v>
      </c>
      <c r="B126" s="854" t="s">
        <v>1540</v>
      </c>
      <c r="C126" s="86" t="s">
        <v>1070</v>
      </c>
      <c r="D126" s="86" t="s">
        <v>703</v>
      </c>
      <c r="E126" s="978"/>
      <c r="F126" s="905" t="s">
        <v>1539</v>
      </c>
      <c r="G126" s="480">
        <v>0</v>
      </c>
      <c r="H126" s="480">
        <v>0</v>
      </c>
      <c r="I126" s="480">
        <v>0</v>
      </c>
      <c r="J126" s="480">
        <v>0</v>
      </c>
      <c r="K126" s="72">
        <f>997500-10972.5</f>
        <v>986527.5</v>
      </c>
      <c r="L126" s="480">
        <f t="shared" si="19"/>
        <v>986527.5</v>
      </c>
    </row>
    <row r="127" spans="1:12" ht="37.5">
      <c r="A127" s="70">
        <v>2.4</v>
      </c>
      <c r="B127" s="854" t="s">
        <v>772</v>
      </c>
      <c r="C127" s="86" t="s">
        <v>24</v>
      </c>
      <c r="D127" s="86" t="s">
        <v>701</v>
      </c>
      <c r="E127" s="979">
        <v>1</v>
      </c>
      <c r="F127" s="904"/>
      <c r="G127" s="480">
        <v>0</v>
      </c>
      <c r="H127" s="480">
        <v>0</v>
      </c>
      <c r="I127" s="480">
        <v>0</v>
      </c>
      <c r="J127" s="480">
        <v>0</v>
      </c>
      <c r="K127" s="72">
        <v>1500000</v>
      </c>
      <c r="L127" s="265">
        <f t="shared" si="19"/>
        <v>1500000</v>
      </c>
    </row>
    <row r="128" spans="1:12" ht="37.5">
      <c r="A128" s="70">
        <v>2.5</v>
      </c>
      <c r="B128" s="854" t="s">
        <v>772</v>
      </c>
      <c r="C128" s="86" t="s">
        <v>25</v>
      </c>
      <c r="D128" s="86" t="s">
        <v>701</v>
      </c>
      <c r="E128" s="979">
        <v>1</v>
      </c>
      <c r="F128" s="873"/>
      <c r="G128" s="480">
        <v>0</v>
      </c>
      <c r="H128" s="480">
        <f>0+267558.7</f>
        <v>267558.7</v>
      </c>
      <c r="I128" s="480">
        <v>0</v>
      </c>
      <c r="J128" s="480">
        <v>0</v>
      </c>
      <c r="K128" s="72">
        <v>900123.4</v>
      </c>
      <c r="L128" s="265">
        <f t="shared" si="19"/>
        <v>1167682.1000000001</v>
      </c>
    </row>
    <row r="129" spans="1:12" ht="18.75">
      <c r="A129" s="70">
        <v>3</v>
      </c>
      <c r="B129" s="854"/>
      <c r="C129" s="86" t="s">
        <v>92</v>
      </c>
      <c r="D129" s="86" t="s">
        <v>695</v>
      </c>
      <c r="E129" s="853"/>
      <c r="F129" s="853"/>
      <c r="G129" s="480">
        <v>0</v>
      </c>
      <c r="H129" s="480">
        <v>0</v>
      </c>
      <c r="I129" s="480">
        <v>0</v>
      </c>
      <c r="J129" s="72">
        <v>50000000</v>
      </c>
      <c r="K129" s="480">
        <v>0</v>
      </c>
      <c r="L129" s="265">
        <f t="shared" si="19"/>
        <v>50000000</v>
      </c>
    </row>
    <row r="130" spans="1:12" ht="56.25">
      <c r="A130" s="76">
        <v>4</v>
      </c>
      <c r="B130" s="882" t="s">
        <v>1216</v>
      </c>
      <c r="C130" s="898" t="s">
        <v>990</v>
      </c>
      <c r="D130" s="898" t="s">
        <v>991</v>
      </c>
      <c r="E130" s="979">
        <v>0.89</v>
      </c>
      <c r="F130" s="858" t="s">
        <v>1499</v>
      </c>
      <c r="G130" s="265">
        <v>0</v>
      </c>
      <c r="H130" s="265">
        <f>0+71020.67</f>
        <v>71020.67</v>
      </c>
      <c r="I130" s="265">
        <f>500000-250000</f>
        <v>250000</v>
      </c>
      <c r="J130" s="266">
        <f>1500000+250000</f>
        <v>1750000</v>
      </c>
      <c r="K130" s="265">
        <v>0</v>
      </c>
      <c r="L130" s="265">
        <f t="shared" si="19"/>
        <v>2071020.67</v>
      </c>
    </row>
    <row r="131" spans="1:12" ht="19.5" thickBot="1">
      <c r="A131" s="862"/>
      <c r="B131" s="854"/>
      <c r="C131" s="861" t="s">
        <v>6</v>
      </c>
      <c r="D131" s="862"/>
      <c r="E131" s="862"/>
      <c r="F131" s="899"/>
      <c r="G131" s="900">
        <f t="shared" ref="G131:L131" si="20">SUM(G116:G130)</f>
        <v>0</v>
      </c>
      <c r="H131" s="900">
        <f t="shared" si="20"/>
        <v>2985354.96</v>
      </c>
      <c r="I131" s="900">
        <f t="shared" si="20"/>
        <v>946169.42</v>
      </c>
      <c r="J131" s="900">
        <f t="shared" si="20"/>
        <v>57250000</v>
      </c>
      <c r="K131" s="900">
        <f t="shared" si="20"/>
        <v>11386650.9</v>
      </c>
      <c r="L131" s="900">
        <f t="shared" si="20"/>
        <v>72568175.280000001</v>
      </c>
    </row>
    <row r="132" spans="1:12" ht="15.75">
      <c r="A132" s="41"/>
      <c r="B132" s="227"/>
      <c r="C132" s="42"/>
      <c r="D132" s="42"/>
      <c r="E132" s="42"/>
      <c r="F132" s="592"/>
      <c r="G132" s="43"/>
      <c r="H132" s="43"/>
      <c r="I132" s="43"/>
      <c r="J132" s="43"/>
      <c r="K132" s="43"/>
      <c r="L132" s="44"/>
    </row>
    <row r="133" spans="1:12" ht="18.75">
      <c r="A133" s="100"/>
      <c r="B133" s="271"/>
      <c r="C133" s="102" t="s">
        <v>26</v>
      </c>
      <c r="D133" s="98"/>
      <c r="E133" s="98"/>
      <c r="F133" s="98"/>
      <c r="G133" s="107">
        <f>SUM(G134:G172)</f>
        <v>19089892.460000001</v>
      </c>
      <c r="H133" s="107">
        <f>SUM(H134:H172)</f>
        <v>4044954.66</v>
      </c>
      <c r="I133" s="107">
        <f>SUM(I134:I172)</f>
        <v>4745666.2</v>
      </c>
      <c r="J133" s="107">
        <f>SUM(J134:J172)</f>
        <v>4799119.9499999993</v>
      </c>
      <c r="K133" s="107">
        <f>SUM(K134:K172)</f>
        <v>27997428.000000004</v>
      </c>
      <c r="L133" s="107">
        <f>SUM(G133:K133)</f>
        <v>60677061.270000003</v>
      </c>
    </row>
    <row r="134" spans="1:12" ht="37.5">
      <c r="A134" s="90">
        <v>1</v>
      </c>
      <c r="B134" s="857" t="s">
        <v>1220</v>
      </c>
      <c r="C134" s="94" t="s">
        <v>937</v>
      </c>
      <c r="D134" s="92" t="s">
        <v>704</v>
      </c>
      <c r="E134" s="979">
        <v>0.9</v>
      </c>
      <c r="F134" s="856"/>
      <c r="G134" s="265">
        <v>749531.34</v>
      </c>
      <c r="H134" s="480">
        <v>0</v>
      </c>
      <c r="I134" s="480">
        <v>0</v>
      </c>
      <c r="J134" s="480">
        <v>0</v>
      </c>
      <c r="K134" s="480">
        <v>0</v>
      </c>
      <c r="L134" s="480">
        <f>SUM(G134:K134)</f>
        <v>749531.34</v>
      </c>
    </row>
    <row r="135" spans="1:12" ht="56.25">
      <c r="A135" s="90">
        <v>2</v>
      </c>
      <c r="B135" s="89" t="s">
        <v>972</v>
      </c>
      <c r="C135" s="91" t="s">
        <v>74</v>
      </c>
      <c r="D135" s="92" t="s">
        <v>704</v>
      </c>
      <c r="E135" s="979">
        <v>0.5</v>
      </c>
      <c r="F135" s="858" t="s">
        <v>1463</v>
      </c>
      <c r="G135" s="265">
        <f>3344868.82-15271.15+175136.84</f>
        <v>3504734.51</v>
      </c>
      <c r="H135" s="480">
        <v>0</v>
      </c>
      <c r="I135" s="480">
        <v>0</v>
      </c>
      <c r="J135" s="480">
        <v>0</v>
      </c>
      <c r="K135" s="480">
        <v>0</v>
      </c>
      <c r="L135" s="265">
        <f t="shared" ref="L135:L172" si="21">SUM(G135:K135)</f>
        <v>3504734.51</v>
      </c>
    </row>
    <row r="136" spans="1:12" ht="56.25">
      <c r="A136" s="90">
        <v>3</v>
      </c>
      <c r="B136" s="854" t="s">
        <v>896</v>
      </c>
      <c r="C136" s="91" t="s">
        <v>938</v>
      </c>
      <c r="D136" s="92" t="s">
        <v>705</v>
      </c>
      <c r="E136" s="979">
        <v>0.52</v>
      </c>
      <c r="F136" s="906"/>
      <c r="G136" s="265">
        <f>4290644.05-243493.06+616492</f>
        <v>4663642.99</v>
      </c>
      <c r="H136" s="480">
        <v>0</v>
      </c>
      <c r="I136" s="480">
        <v>0</v>
      </c>
      <c r="J136" s="480">
        <v>0</v>
      </c>
      <c r="K136" s="480">
        <v>0</v>
      </c>
      <c r="L136" s="265">
        <f t="shared" si="21"/>
        <v>4663642.99</v>
      </c>
    </row>
    <row r="137" spans="1:12" ht="56.25">
      <c r="A137" s="90">
        <v>4</v>
      </c>
      <c r="B137" s="854" t="s">
        <v>1071</v>
      </c>
      <c r="C137" s="91" t="s">
        <v>939</v>
      </c>
      <c r="D137" s="93" t="s">
        <v>706</v>
      </c>
      <c r="E137" s="979"/>
      <c r="F137" s="856"/>
      <c r="G137" s="265">
        <v>0</v>
      </c>
      <c r="H137" s="480">
        <v>0</v>
      </c>
      <c r="I137" s="480">
        <v>0</v>
      </c>
      <c r="J137" s="907">
        <v>99249.55</v>
      </c>
      <c r="K137" s="480">
        <v>0</v>
      </c>
      <c r="L137" s="265">
        <f t="shared" si="21"/>
        <v>99249.55</v>
      </c>
    </row>
    <row r="138" spans="1:12" ht="56.25">
      <c r="A138" s="90">
        <v>5</v>
      </c>
      <c r="B138" s="854" t="s">
        <v>1072</v>
      </c>
      <c r="C138" s="91" t="s">
        <v>940</v>
      </c>
      <c r="D138" s="93" t="s">
        <v>706</v>
      </c>
      <c r="E138" s="979"/>
      <c r="F138" s="856"/>
      <c r="G138" s="265">
        <v>0</v>
      </c>
      <c r="H138" s="480">
        <v>0</v>
      </c>
      <c r="I138" s="480">
        <v>0</v>
      </c>
      <c r="J138" s="907">
        <v>213975.33</v>
      </c>
      <c r="K138" s="480">
        <v>0</v>
      </c>
      <c r="L138" s="265">
        <f t="shared" si="21"/>
        <v>213975.33</v>
      </c>
    </row>
    <row r="139" spans="1:12" ht="37.5">
      <c r="A139" s="90">
        <v>6</v>
      </c>
      <c r="B139" s="854" t="s">
        <v>1073</v>
      </c>
      <c r="C139" s="91" t="s">
        <v>941</v>
      </c>
      <c r="D139" s="93" t="s">
        <v>707</v>
      </c>
      <c r="E139" s="979"/>
      <c r="F139" s="856"/>
      <c r="G139" s="265">
        <v>0</v>
      </c>
      <c r="H139" s="480">
        <v>0</v>
      </c>
      <c r="I139" s="480">
        <v>0</v>
      </c>
      <c r="J139" s="907">
        <v>408945</v>
      </c>
      <c r="K139" s="480">
        <v>0</v>
      </c>
      <c r="L139" s="265">
        <f t="shared" si="21"/>
        <v>408945</v>
      </c>
    </row>
    <row r="140" spans="1:12" ht="75">
      <c r="A140" s="90">
        <v>7</v>
      </c>
      <c r="B140" s="882" t="s">
        <v>1217</v>
      </c>
      <c r="C140" s="91" t="s">
        <v>942</v>
      </c>
      <c r="D140" s="92" t="s">
        <v>60</v>
      </c>
      <c r="E140" s="979">
        <v>0.97499999999999998</v>
      </c>
      <c r="F140" s="858" t="s">
        <v>1532</v>
      </c>
      <c r="G140" s="265">
        <f>353001.82+12637.62+10066.02</f>
        <v>375705.46</v>
      </c>
      <c r="H140" s="480">
        <v>0</v>
      </c>
      <c r="I140" s="480">
        <v>0</v>
      </c>
      <c r="J140" s="480">
        <v>0</v>
      </c>
      <c r="K140" s="480">
        <v>0</v>
      </c>
      <c r="L140" s="265">
        <f t="shared" si="21"/>
        <v>375705.46</v>
      </c>
    </row>
    <row r="141" spans="1:12" ht="75">
      <c r="A141" s="90">
        <v>8</v>
      </c>
      <c r="B141" s="854" t="s">
        <v>199</v>
      </c>
      <c r="C141" s="91" t="s">
        <v>943</v>
      </c>
      <c r="D141" s="93" t="s">
        <v>61</v>
      </c>
      <c r="E141" s="979"/>
      <c r="F141" s="856"/>
      <c r="G141" s="265">
        <v>0</v>
      </c>
      <c r="H141" s="480">
        <v>0</v>
      </c>
      <c r="I141" s="480">
        <v>0</v>
      </c>
      <c r="J141" s="907">
        <v>115204.33</v>
      </c>
      <c r="K141" s="480">
        <v>0</v>
      </c>
      <c r="L141" s="265">
        <f t="shared" si="21"/>
        <v>115204.33</v>
      </c>
    </row>
    <row r="142" spans="1:12" ht="75">
      <c r="A142" s="90">
        <v>9</v>
      </c>
      <c r="B142" s="854" t="s">
        <v>1074</v>
      </c>
      <c r="C142" s="91" t="s">
        <v>943</v>
      </c>
      <c r="D142" s="93" t="s">
        <v>992</v>
      </c>
      <c r="E142" s="979"/>
      <c r="F142" s="856"/>
      <c r="G142" s="265">
        <v>0</v>
      </c>
      <c r="H142" s="480">
        <v>0</v>
      </c>
      <c r="I142" s="480">
        <v>0</v>
      </c>
      <c r="J142" s="907">
        <v>37154.449999999997</v>
      </c>
      <c r="K142" s="480">
        <v>0</v>
      </c>
      <c r="L142" s="265">
        <f t="shared" si="21"/>
        <v>37154.449999999997</v>
      </c>
    </row>
    <row r="143" spans="1:12" ht="56.25">
      <c r="A143" s="90">
        <v>10</v>
      </c>
      <c r="B143" s="854" t="s">
        <v>909</v>
      </c>
      <c r="C143" s="91" t="s">
        <v>944</v>
      </c>
      <c r="D143" s="92" t="s">
        <v>62</v>
      </c>
      <c r="E143" s="979"/>
      <c r="F143" s="856"/>
      <c r="G143" s="265">
        <v>0</v>
      </c>
      <c r="H143" s="480">
        <v>0</v>
      </c>
      <c r="I143" s="480">
        <v>0</v>
      </c>
      <c r="J143" s="907">
        <v>74003.8</v>
      </c>
      <c r="K143" s="480">
        <v>0</v>
      </c>
      <c r="L143" s="265">
        <f t="shared" si="21"/>
        <v>74003.8</v>
      </c>
    </row>
    <row r="144" spans="1:12" ht="37.5">
      <c r="A144" s="90">
        <v>11</v>
      </c>
      <c r="B144" s="854" t="s">
        <v>1075</v>
      </c>
      <c r="C144" s="91" t="s">
        <v>63</v>
      </c>
      <c r="D144" s="93" t="s">
        <v>64</v>
      </c>
      <c r="E144" s="979"/>
      <c r="F144" s="853"/>
      <c r="G144" s="480">
        <v>720356.14</v>
      </c>
      <c r="H144" s="480">
        <v>0</v>
      </c>
      <c r="I144" s="480">
        <v>0</v>
      </c>
      <c r="J144" s="480">
        <v>0</v>
      </c>
      <c r="K144" s="480">
        <v>0</v>
      </c>
      <c r="L144" s="480">
        <f t="shared" si="21"/>
        <v>720356.14</v>
      </c>
    </row>
    <row r="145" spans="1:12" ht="75">
      <c r="A145" s="90">
        <v>12</v>
      </c>
      <c r="B145" s="854" t="s">
        <v>1076</v>
      </c>
      <c r="C145" s="94" t="s">
        <v>904</v>
      </c>
      <c r="D145" s="93" t="s">
        <v>707</v>
      </c>
      <c r="E145" s="979"/>
      <c r="F145" s="856"/>
      <c r="G145" s="265">
        <v>1372864.16</v>
      </c>
      <c r="H145" s="480">
        <v>0</v>
      </c>
      <c r="I145" s="480">
        <v>0</v>
      </c>
      <c r="J145" s="480">
        <v>0</v>
      </c>
      <c r="K145" s="480">
        <v>0</v>
      </c>
      <c r="L145" s="265">
        <f t="shared" si="21"/>
        <v>1372864.16</v>
      </c>
    </row>
    <row r="146" spans="1:12" ht="37.5">
      <c r="A146" s="90">
        <v>13</v>
      </c>
      <c r="B146" s="854" t="s">
        <v>1077</v>
      </c>
      <c r="C146" s="94" t="s">
        <v>75</v>
      </c>
      <c r="D146" s="92" t="s">
        <v>708</v>
      </c>
      <c r="E146" s="979"/>
      <c r="F146" s="856"/>
      <c r="G146" s="265">
        <f>0+308665.79</f>
        <v>308665.78999999998</v>
      </c>
      <c r="H146" s="480">
        <v>0</v>
      </c>
      <c r="I146" s="480">
        <v>0</v>
      </c>
      <c r="J146" s="480">
        <v>378184.78</v>
      </c>
      <c r="K146" s="480">
        <v>0</v>
      </c>
      <c r="L146" s="265">
        <f t="shared" si="21"/>
        <v>686850.57000000007</v>
      </c>
    </row>
    <row r="147" spans="1:12" ht="37.5">
      <c r="A147" s="473">
        <v>14</v>
      </c>
      <c r="B147" s="854" t="s">
        <v>1078</v>
      </c>
      <c r="C147" s="94" t="s">
        <v>905</v>
      </c>
      <c r="D147" s="92" t="s">
        <v>708</v>
      </c>
      <c r="E147" s="979"/>
      <c r="F147" s="856"/>
      <c r="G147" s="265">
        <v>0</v>
      </c>
      <c r="H147" s="480">
        <v>0</v>
      </c>
      <c r="I147" s="480">
        <v>0</v>
      </c>
      <c r="J147" s="480">
        <v>744898.87</v>
      </c>
      <c r="K147" s="480">
        <v>0</v>
      </c>
      <c r="L147" s="265">
        <f t="shared" si="21"/>
        <v>744898.87</v>
      </c>
    </row>
    <row r="148" spans="1:12" ht="37.5">
      <c r="A148" s="473">
        <v>15</v>
      </c>
      <c r="B148" s="854" t="s">
        <v>1042</v>
      </c>
      <c r="C148" s="94" t="s">
        <v>76</v>
      </c>
      <c r="D148" s="93" t="s">
        <v>709</v>
      </c>
      <c r="E148" s="979"/>
      <c r="F148" s="856"/>
      <c r="G148" s="265">
        <v>0</v>
      </c>
      <c r="H148" s="480">
        <v>0</v>
      </c>
      <c r="I148" s="480">
        <v>0</v>
      </c>
      <c r="J148" s="480">
        <v>2727503.84</v>
      </c>
      <c r="K148" s="480">
        <v>0</v>
      </c>
      <c r="L148" s="265">
        <f t="shared" si="21"/>
        <v>2727503.84</v>
      </c>
    </row>
    <row r="149" spans="1:12" ht="37.5">
      <c r="A149" s="473">
        <v>16</v>
      </c>
      <c r="B149" s="854" t="s">
        <v>1079</v>
      </c>
      <c r="C149" s="94" t="s">
        <v>76</v>
      </c>
      <c r="D149" s="92" t="s">
        <v>710</v>
      </c>
      <c r="E149" s="979"/>
      <c r="F149" s="856"/>
      <c r="G149" s="265">
        <v>1538388.83</v>
      </c>
      <c r="H149" s="480">
        <v>0</v>
      </c>
      <c r="I149" s="480">
        <v>0</v>
      </c>
      <c r="J149" s="480">
        <v>0</v>
      </c>
      <c r="K149" s="480">
        <v>0</v>
      </c>
      <c r="L149" s="265">
        <f t="shared" si="21"/>
        <v>1538388.83</v>
      </c>
    </row>
    <row r="150" spans="1:12" ht="37.5">
      <c r="A150" s="90">
        <v>17</v>
      </c>
      <c r="B150" s="854" t="s">
        <v>1080</v>
      </c>
      <c r="C150" s="94" t="s">
        <v>76</v>
      </c>
      <c r="D150" s="93" t="s">
        <v>711</v>
      </c>
      <c r="E150" s="979"/>
      <c r="F150" s="853"/>
      <c r="G150" s="480">
        <v>430781.28</v>
      </c>
      <c r="H150" s="480">
        <v>0</v>
      </c>
      <c r="I150" s="480">
        <v>0</v>
      </c>
      <c r="J150" s="480">
        <v>0</v>
      </c>
      <c r="K150" s="480">
        <v>0</v>
      </c>
      <c r="L150" s="480">
        <f t="shared" si="21"/>
        <v>430781.28</v>
      </c>
    </row>
    <row r="151" spans="1:12" ht="37.5">
      <c r="A151" s="90">
        <v>18</v>
      </c>
      <c r="B151" s="854" t="s">
        <v>1081</v>
      </c>
      <c r="C151" s="94" t="s">
        <v>75</v>
      </c>
      <c r="D151" s="93" t="s">
        <v>711</v>
      </c>
      <c r="E151" s="979"/>
      <c r="F151" s="856"/>
      <c r="G151" s="265">
        <v>300660.37</v>
      </c>
      <c r="H151" s="480">
        <v>0</v>
      </c>
      <c r="I151" s="480">
        <v>0</v>
      </c>
      <c r="J151" s="480">
        <v>0</v>
      </c>
      <c r="K151" s="480">
        <v>0</v>
      </c>
      <c r="L151" s="265">
        <f t="shared" si="21"/>
        <v>300660.37</v>
      </c>
    </row>
    <row r="152" spans="1:12" ht="37.5">
      <c r="A152" s="90">
        <v>19</v>
      </c>
      <c r="B152" s="854" t="s">
        <v>1082</v>
      </c>
      <c r="C152" s="94" t="s">
        <v>75</v>
      </c>
      <c r="D152" s="93" t="s">
        <v>712</v>
      </c>
      <c r="E152" s="979"/>
      <c r="F152" s="856"/>
      <c r="G152" s="265">
        <v>307812.24</v>
      </c>
      <c r="H152" s="480">
        <v>0</v>
      </c>
      <c r="I152" s="480">
        <v>0</v>
      </c>
      <c r="J152" s="480">
        <v>0</v>
      </c>
      <c r="K152" s="480">
        <v>0</v>
      </c>
      <c r="L152" s="265">
        <f t="shared" si="21"/>
        <v>307812.24</v>
      </c>
    </row>
    <row r="153" spans="1:12" ht="30" customHeight="1">
      <c r="A153" s="90">
        <v>20</v>
      </c>
      <c r="B153" s="854" t="s">
        <v>1083</v>
      </c>
      <c r="C153" s="94" t="s">
        <v>713</v>
      </c>
      <c r="D153" s="93" t="s">
        <v>712</v>
      </c>
      <c r="E153" s="979"/>
      <c r="F153" s="856"/>
      <c r="G153" s="265">
        <v>743509.83</v>
      </c>
      <c r="H153" s="480">
        <v>0</v>
      </c>
      <c r="I153" s="480">
        <v>0</v>
      </c>
      <c r="J153" s="480">
        <v>0</v>
      </c>
      <c r="K153" s="480">
        <v>0</v>
      </c>
      <c r="L153" s="265">
        <f t="shared" si="21"/>
        <v>743509.83</v>
      </c>
    </row>
    <row r="154" spans="1:12" ht="37.5">
      <c r="A154" s="90">
        <v>21</v>
      </c>
      <c r="B154" s="854" t="s">
        <v>1412</v>
      </c>
      <c r="C154" s="94" t="s">
        <v>714</v>
      </c>
      <c r="D154" s="93" t="s">
        <v>715</v>
      </c>
      <c r="E154" s="979"/>
      <c r="F154" s="853"/>
      <c r="G154" s="480">
        <v>2051641.59</v>
      </c>
      <c r="H154" s="480">
        <v>0</v>
      </c>
      <c r="I154" s="480">
        <v>0</v>
      </c>
      <c r="J154" s="480">
        <v>0</v>
      </c>
      <c r="K154" s="480">
        <v>0</v>
      </c>
      <c r="L154" s="480">
        <f t="shared" si="21"/>
        <v>2051641.59</v>
      </c>
    </row>
    <row r="155" spans="1:12" ht="100.5" customHeight="1">
      <c r="A155" s="473">
        <v>22</v>
      </c>
      <c r="B155" s="854" t="s">
        <v>950</v>
      </c>
      <c r="C155" s="91" t="s">
        <v>1084</v>
      </c>
      <c r="D155" s="93" t="s">
        <v>85</v>
      </c>
      <c r="E155" s="979">
        <v>1</v>
      </c>
      <c r="F155" s="858" t="s">
        <v>1466</v>
      </c>
      <c r="G155" s="480">
        <f>1853673.63-93335.63-156091.75</f>
        <v>1604246.25</v>
      </c>
      <c r="H155" s="480">
        <v>0</v>
      </c>
      <c r="I155" s="480">
        <v>0</v>
      </c>
      <c r="J155" s="480">
        <v>0</v>
      </c>
      <c r="K155" s="480">
        <v>0</v>
      </c>
      <c r="L155" s="480">
        <f t="shared" si="21"/>
        <v>1604246.25</v>
      </c>
    </row>
    <row r="156" spans="1:12" ht="37.5">
      <c r="A156" s="473">
        <v>23</v>
      </c>
      <c r="B156" s="857" t="s">
        <v>1399</v>
      </c>
      <c r="C156" s="91" t="s">
        <v>906</v>
      </c>
      <c r="D156" s="93" t="s">
        <v>907</v>
      </c>
      <c r="E156" s="979">
        <v>0</v>
      </c>
      <c r="F156" s="856"/>
      <c r="G156" s="265">
        <v>417351.67999999999</v>
      </c>
      <c r="H156" s="480">
        <v>0</v>
      </c>
      <c r="I156" s="480">
        <v>0</v>
      </c>
      <c r="J156" s="480">
        <v>0</v>
      </c>
      <c r="K156" s="480">
        <v>0</v>
      </c>
      <c r="L156" s="480">
        <f t="shared" si="21"/>
        <v>417351.67999999999</v>
      </c>
    </row>
    <row r="157" spans="1:12" ht="18.75">
      <c r="A157" s="84">
        <v>24</v>
      </c>
      <c r="B157" s="854" t="s">
        <v>245</v>
      </c>
      <c r="C157" s="95" t="s">
        <v>27</v>
      </c>
      <c r="D157" s="95"/>
      <c r="E157" s="979"/>
      <c r="F157" s="856"/>
      <c r="G157" s="265">
        <v>0</v>
      </c>
      <c r="H157" s="480">
        <v>0</v>
      </c>
      <c r="I157" s="72">
        <v>948238.2</v>
      </c>
      <c r="J157" s="480">
        <v>0</v>
      </c>
      <c r="K157" s="480">
        <v>0</v>
      </c>
      <c r="L157" s="480">
        <f t="shared" si="21"/>
        <v>948238.2</v>
      </c>
    </row>
    <row r="158" spans="1:12" ht="56.25">
      <c r="A158" s="70">
        <v>25</v>
      </c>
      <c r="B158" s="857" t="s">
        <v>1110</v>
      </c>
      <c r="C158" s="75" t="s">
        <v>1102</v>
      </c>
      <c r="D158" s="75"/>
      <c r="E158" s="979">
        <v>0.5</v>
      </c>
      <c r="F158" s="908"/>
      <c r="G158" s="265">
        <v>0</v>
      </c>
      <c r="H158" s="80">
        <v>3800000</v>
      </c>
      <c r="I158" s="480">
        <v>0</v>
      </c>
      <c r="J158" s="480">
        <v>0</v>
      </c>
      <c r="K158" s="480">
        <v>0</v>
      </c>
      <c r="L158" s="265">
        <f t="shared" si="21"/>
        <v>3800000</v>
      </c>
    </row>
    <row r="159" spans="1:12" ht="18.75">
      <c r="A159" s="70">
        <v>26</v>
      </c>
      <c r="B159" s="854"/>
      <c r="C159" s="116" t="s">
        <v>716</v>
      </c>
      <c r="D159" s="75"/>
      <c r="E159" s="979"/>
      <c r="F159" s="853"/>
      <c r="G159" s="480">
        <v>0</v>
      </c>
      <c r="H159" s="480">
        <v>0</v>
      </c>
      <c r="I159" s="480">
        <v>0</v>
      </c>
      <c r="J159" s="480">
        <v>0</v>
      </c>
      <c r="K159" s="72">
        <f>23933800-2173549.98-2425241.52-745679.18-754461.63-726947.08-685537.33-14639951.23-1022864.39-759567.66</f>
        <v>2.5611370801925659E-9</v>
      </c>
      <c r="L159" s="265">
        <f t="shared" si="21"/>
        <v>2.5611370801925659E-9</v>
      </c>
    </row>
    <row r="160" spans="1:12" ht="37.5">
      <c r="A160" s="70">
        <v>26.1</v>
      </c>
      <c r="B160" s="854" t="s">
        <v>863</v>
      </c>
      <c r="C160" s="75" t="s">
        <v>756</v>
      </c>
      <c r="D160" s="75" t="s">
        <v>88</v>
      </c>
      <c r="E160" s="979">
        <v>1</v>
      </c>
      <c r="F160" s="853"/>
      <c r="G160" s="480">
        <v>0</v>
      </c>
      <c r="H160" s="480">
        <v>0</v>
      </c>
      <c r="I160" s="480">
        <v>0</v>
      </c>
      <c r="J160" s="480">
        <v>0</v>
      </c>
      <c r="K160" s="72">
        <v>2173549.9900000002</v>
      </c>
      <c r="L160" s="265">
        <f t="shared" si="21"/>
        <v>2173549.9900000002</v>
      </c>
    </row>
    <row r="161" spans="1:12" ht="56.25">
      <c r="A161" s="70">
        <v>26.2</v>
      </c>
      <c r="B161" s="854" t="s">
        <v>869</v>
      </c>
      <c r="C161" s="75" t="s">
        <v>757</v>
      </c>
      <c r="D161" s="75" t="s">
        <v>717</v>
      </c>
      <c r="E161" s="979">
        <v>1</v>
      </c>
      <c r="F161" s="853"/>
      <c r="G161" s="480">
        <v>0</v>
      </c>
      <c r="H161" s="480">
        <v>0</v>
      </c>
      <c r="I161" s="480">
        <v>0</v>
      </c>
      <c r="J161" s="480">
        <v>0</v>
      </c>
      <c r="K161" s="72">
        <v>2425241.52</v>
      </c>
      <c r="L161" s="265">
        <f t="shared" si="21"/>
        <v>2425241.52</v>
      </c>
    </row>
    <row r="162" spans="1:12" ht="37.5">
      <c r="A162" s="70">
        <v>26.3</v>
      </c>
      <c r="B162" s="857" t="s">
        <v>965</v>
      </c>
      <c r="C162" s="75" t="s">
        <v>79</v>
      </c>
      <c r="D162" s="75" t="s">
        <v>40</v>
      </c>
      <c r="E162" s="979">
        <v>1</v>
      </c>
      <c r="F162" s="853"/>
      <c r="G162" s="480">
        <v>0</v>
      </c>
      <c r="H162" s="480">
        <v>0</v>
      </c>
      <c r="I162" s="480">
        <v>0</v>
      </c>
      <c r="J162" s="480">
        <v>0</v>
      </c>
      <c r="K162" s="72">
        <v>745679.18</v>
      </c>
      <c r="L162" s="265">
        <f t="shared" si="21"/>
        <v>745679.18</v>
      </c>
    </row>
    <row r="163" spans="1:12" ht="37.5">
      <c r="A163" s="70">
        <v>26.4</v>
      </c>
      <c r="B163" s="854" t="s">
        <v>868</v>
      </c>
      <c r="C163" s="75" t="s">
        <v>80</v>
      </c>
      <c r="D163" s="75" t="s">
        <v>40</v>
      </c>
      <c r="E163" s="979">
        <v>1</v>
      </c>
      <c r="F163" s="853"/>
      <c r="G163" s="480">
        <v>0</v>
      </c>
      <c r="H163" s="480">
        <v>0</v>
      </c>
      <c r="I163" s="480">
        <v>0</v>
      </c>
      <c r="J163" s="480">
        <v>0</v>
      </c>
      <c r="K163" s="72">
        <v>754461.63</v>
      </c>
      <c r="L163" s="265">
        <f t="shared" si="21"/>
        <v>754461.63</v>
      </c>
    </row>
    <row r="164" spans="1:12" ht="37.5">
      <c r="A164" s="70">
        <v>26.5</v>
      </c>
      <c r="B164" s="854" t="s">
        <v>866</v>
      </c>
      <c r="C164" s="75" t="s">
        <v>81</v>
      </c>
      <c r="D164" s="75" t="s">
        <v>40</v>
      </c>
      <c r="E164" s="979">
        <v>1</v>
      </c>
      <c r="F164" s="853"/>
      <c r="G164" s="480">
        <v>0</v>
      </c>
      <c r="H164" s="480">
        <v>0</v>
      </c>
      <c r="I164" s="480">
        <v>0</v>
      </c>
      <c r="J164" s="480">
        <v>0</v>
      </c>
      <c r="K164" s="72">
        <v>726947.08</v>
      </c>
      <c r="L164" s="265">
        <f t="shared" si="21"/>
        <v>726947.08</v>
      </c>
    </row>
    <row r="165" spans="1:12" ht="37.5">
      <c r="A165" s="70">
        <v>26.6</v>
      </c>
      <c r="B165" s="857" t="s">
        <v>964</v>
      </c>
      <c r="C165" s="75" t="s">
        <v>82</v>
      </c>
      <c r="D165" s="75" t="s">
        <v>40</v>
      </c>
      <c r="E165" s="979">
        <v>1</v>
      </c>
      <c r="F165" s="853"/>
      <c r="G165" s="480">
        <v>0</v>
      </c>
      <c r="H165" s="480">
        <v>0</v>
      </c>
      <c r="I165" s="480">
        <v>0</v>
      </c>
      <c r="J165" s="480">
        <v>0</v>
      </c>
      <c r="K165" s="72">
        <v>685537.33</v>
      </c>
      <c r="L165" s="480">
        <f t="shared" si="21"/>
        <v>685537.33</v>
      </c>
    </row>
    <row r="166" spans="1:12" ht="37.5">
      <c r="A166" s="70">
        <v>26.7</v>
      </c>
      <c r="B166" s="854" t="s">
        <v>864</v>
      </c>
      <c r="C166" s="75" t="s">
        <v>83</v>
      </c>
      <c r="D166" s="75" t="s">
        <v>718</v>
      </c>
      <c r="E166" s="979">
        <v>1</v>
      </c>
      <c r="F166" s="853"/>
      <c r="G166" s="480">
        <v>0</v>
      </c>
      <c r="H166" s="480">
        <v>0</v>
      </c>
      <c r="I166" s="480">
        <v>0</v>
      </c>
      <c r="J166" s="480">
        <v>0</v>
      </c>
      <c r="K166" s="72">
        <v>1022864.39</v>
      </c>
      <c r="L166" s="480">
        <f t="shared" si="21"/>
        <v>1022864.39</v>
      </c>
    </row>
    <row r="167" spans="1:12" ht="37.5">
      <c r="A167" s="115">
        <v>26.8</v>
      </c>
      <c r="B167" s="854" t="s">
        <v>867</v>
      </c>
      <c r="C167" s="94" t="s">
        <v>84</v>
      </c>
      <c r="D167" s="94" t="s">
        <v>719</v>
      </c>
      <c r="E167" s="979">
        <v>1</v>
      </c>
      <c r="F167" s="853"/>
      <c r="G167" s="480">
        <v>0</v>
      </c>
      <c r="H167" s="480">
        <v>0</v>
      </c>
      <c r="I167" s="480">
        <v>0</v>
      </c>
      <c r="J167" s="480">
        <v>0</v>
      </c>
      <c r="K167" s="72">
        <v>759567.66</v>
      </c>
      <c r="L167" s="265">
        <f t="shared" si="21"/>
        <v>759567.66</v>
      </c>
    </row>
    <row r="168" spans="1:12" ht="37.5">
      <c r="A168" s="479">
        <v>26.9</v>
      </c>
      <c r="B168" s="854"/>
      <c r="C168" s="240" t="s">
        <v>720</v>
      </c>
      <c r="D168" s="240"/>
      <c r="E168" s="856"/>
      <c r="F168" s="856"/>
      <c r="G168" s="265">
        <v>0</v>
      </c>
      <c r="H168" s="265">
        <v>0</v>
      </c>
      <c r="I168" s="265">
        <v>0</v>
      </c>
      <c r="J168" s="265">
        <v>0</v>
      </c>
      <c r="K168" s="267">
        <v>266199.99</v>
      </c>
      <c r="L168" s="265">
        <f>SUM(G168:K168)</f>
        <v>266199.99</v>
      </c>
    </row>
    <row r="169" spans="1:12" ht="75">
      <c r="A169" s="479">
        <v>27</v>
      </c>
      <c r="B169" s="854"/>
      <c r="C169" s="240" t="s">
        <v>721</v>
      </c>
      <c r="D169" s="240" t="s">
        <v>722</v>
      </c>
      <c r="E169" s="980"/>
      <c r="F169" s="856"/>
      <c r="G169" s="265">
        <v>0</v>
      </c>
      <c r="H169" s="265">
        <v>0</v>
      </c>
      <c r="I169" s="265">
        <v>0</v>
      </c>
      <c r="J169" s="265">
        <v>0</v>
      </c>
      <c r="K169" s="267">
        <v>4879983.74</v>
      </c>
      <c r="L169" s="265">
        <f t="shared" si="21"/>
        <v>4879983.74</v>
      </c>
    </row>
    <row r="170" spans="1:12" ht="75">
      <c r="A170" s="115">
        <v>28</v>
      </c>
      <c r="B170" s="854"/>
      <c r="C170" s="94" t="s">
        <v>1128</v>
      </c>
      <c r="D170" s="94" t="s">
        <v>722</v>
      </c>
      <c r="E170" s="981"/>
      <c r="F170" s="859"/>
      <c r="G170" s="480">
        <v>0</v>
      </c>
      <c r="H170" s="480">
        <v>0</v>
      </c>
      <c r="I170" s="480">
        <v>0</v>
      </c>
      <c r="J170" s="480">
        <v>0</v>
      </c>
      <c r="K170" s="82">
        <v>9759967.4900000002</v>
      </c>
      <c r="L170" s="480">
        <f t="shared" si="21"/>
        <v>9759967.4900000002</v>
      </c>
    </row>
    <row r="171" spans="1:12" ht="37.5">
      <c r="A171" s="479">
        <v>29</v>
      </c>
      <c r="B171" s="854" t="s">
        <v>1221</v>
      </c>
      <c r="C171" s="94" t="s">
        <v>1129</v>
      </c>
      <c r="D171" s="240"/>
      <c r="E171" s="979">
        <v>0.83</v>
      </c>
      <c r="F171" s="909"/>
      <c r="G171" s="480">
        <v>0</v>
      </c>
      <c r="H171" s="480">
        <v>0</v>
      </c>
      <c r="I171" s="82">
        <v>3797428</v>
      </c>
      <c r="J171" s="480">
        <v>0</v>
      </c>
      <c r="K171" s="82">
        <v>3797428</v>
      </c>
      <c r="L171" s="480">
        <f t="shared" si="21"/>
        <v>7594856</v>
      </c>
    </row>
    <row r="172" spans="1:12" ht="75">
      <c r="A172" s="479">
        <v>30</v>
      </c>
      <c r="B172" s="857" t="s">
        <v>1373</v>
      </c>
      <c r="C172" s="912" t="s">
        <v>1546</v>
      </c>
      <c r="D172" s="912" t="s">
        <v>1545</v>
      </c>
      <c r="E172" s="979">
        <v>0.98650000000000004</v>
      </c>
      <c r="F172" s="858" t="s">
        <v>1547</v>
      </c>
      <c r="G172" s="914">
        <v>0</v>
      </c>
      <c r="H172" s="914">
        <v>244954.66</v>
      </c>
      <c r="I172" s="480">
        <v>0</v>
      </c>
      <c r="J172" s="480">
        <v>0</v>
      </c>
      <c r="K172" s="480">
        <v>0</v>
      </c>
      <c r="L172" s="480">
        <f t="shared" si="21"/>
        <v>244954.66</v>
      </c>
    </row>
    <row r="173" spans="1:12" ht="19.5" thickBot="1">
      <c r="A173" s="862"/>
      <c r="B173" s="872"/>
      <c r="C173" s="861" t="s">
        <v>6</v>
      </c>
      <c r="D173" s="862"/>
      <c r="E173" s="862"/>
      <c r="F173" s="863"/>
      <c r="G173" s="900">
        <f t="shared" ref="G173:L173" si="22">SUM(G134:G172)</f>
        <v>19089892.460000001</v>
      </c>
      <c r="H173" s="900">
        <f t="shared" si="22"/>
        <v>4044954.66</v>
      </c>
      <c r="I173" s="900">
        <f t="shared" si="22"/>
        <v>4745666.2</v>
      </c>
      <c r="J173" s="900">
        <f t="shared" si="22"/>
        <v>4799119.9499999993</v>
      </c>
      <c r="K173" s="900">
        <f t="shared" si="22"/>
        <v>27997428.000000004</v>
      </c>
      <c r="L173" s="900">
        <f t="shared" si="22"/>
        <v>60677061.270000003</v>
      </c>
    </row>
    <row r="174" spans="1:12" ht="15.75">
      <c r="A174" s="45"/>
      <c r="B174" s="227"/>
      <c r="C174" s="253"/>
      <c r="D174" s="47"/>
      <c r="E174" s="47"/>
      <c r="F174" s="592"/>
      <c r="G174" s="37"/>
      <c r="H174" s="37"/>
      <c r="I174" s="37"/>
      <c r="J174" s="37"/>
      <c r="K174" s="37"/>
      <c r="L174" s="44"/>
    </row>
    <row r="175" spans="1:12" ht="15.75">
      <c r="A175" s="45"/>
      <c r="B175" s="227"/>
      <c r="C175" s="253"/>
      <c r="D175" s="47"/>
      <c r="E175" s="47"/>
      <c r="F175" s="592"/>
      <c r="G175" s="37"/>
      <c r="H175" s="37"/>
      <c r="I175" s="37"/>
      <c r="J175" s="37"/>
      <c r="K175" s="37"/>
      <c r="L175" s="44"/>
    </row>
    <row r="176" spans="1:12" ht="18.75">
      <c r="A176" s="100"/>
      <c r="B176" s="271"/>
      <c r="C176" s="102" t="s">
        <v>28</v>
      </c>
      <c r="D176" s="98"/>
      <c r="E176" s="98"/>
      <c r="F176" s="272"/>
      <c r="G176" s="107">
        <f>SUM(G178:G234)</f>
        <v>45270150.140000001</v>
      </c>
      <c r="H176" s="107">
        <f>SUM(H178:H241)</f>
        <v>457660.85000000009</v>
      </c>
      <c r="I176" s="107">
        <f>SUM(I178:I235)</f>
        <v>642732.1</v>
      </c>
      <c r="J176" s="107">
        <f>SUM(J178:J235)</f>
        <v>16918737.630000003</v>
      </c>
      <c r="K176" s="107">
        <f>SUM(K178:K235)</f>
        <v>143908.24</v>
      </c>
      <c r="L176" s="107">
        <f>SUM(G176:K176)</f>
        <v>63433188.960000008</v>
      </c>
    </row>
    <row r="177" spans="1:12" ht="18.75">
      <c r="A177" s="340">
        <v>1</v>
      </c>
      <c r="B177" s="854"/>
      <c r="C177" s="91" t="s">
        <v>951</v>
      </c>
      <c r="D177" s="915"/>
      <c r="E177" s="856"/>
      <c r="F177" s="856"/>
      <c r="G177" s="916"/>
      <c r="H177" s="917"/>
      <c r="I177" s="917"/>
      <c r="J177" s="917"/>
      <c r="K177" s="917"/>
      <c r="L177" s="916"/>
    </row>
    <row r="178" spans="1:12" ht="37.5">
      <c r="A178" s="88">
        <v>1.1000000000000001</v>
      </c>
      <c r="B178" s="854" t="s">
        <v>1085</v>
      </c>
      <c r="C178" s="91" t="s">
        <v>908</v>
      </c>
      <c r="D178" s="91" t="s">
        <v>723</v>
      </c>
      <c r="E178" s="979"/>
      <c r="F178" s="853"/>
      <c r="G178" s="265">
        <v>1648757.06</v>
      </c>
      <c r="H178" s="480">
        <v>0</v>
      </c>
      <c r="I178" s="480">
        <v>0</v>
      </c>
      <c r="J178" s="480">
        <v>0</v>
      </c>
      <c r="K178" s="480">
        <v>0</v>
      </c>
      <c r="L178" s="265">
        <f>SUM(G178:K178)</f>
        <v>1648757.06</v>
      </c>
    </row>
    <row r="179" spans="1:12" ht="75">
      <c r="A179" s="88">
        <v>1.2</v>
      </c>
      <c r="B179" s="857" t="s">
        <v>1154</v>
      </c>
      <c r="C179" s="91" t="s">
        <v>945</v>
      </c>
      <c r="D179" s="91" t="s">
        <v>724</v>
      </c>
      <c r="E179" s="979">
        <v>1</v>
      </c>
      <c r="F179" s="892"/>
      <c r="G179" s="265">
        <v>202139.08</v>
      </c>
      <c r="H179" s="480">
        <v>0</v>
      </c>
      <c r="I179" s="480">
        <v>0</v>
      </c>
      <c r="J179" s="480">
        <v>0</v>
      </c>
      <c r="K179" s="480">
        <v>0</v>
      </c>
      <c r="L179" s="265">
        <f t="shared" ref="L179:L241" si="23">SUM(G179:K179)</f>
        <v>202139.08</v>
      </c>
    </row>
    <row r="180" spans="1:12" ht="75">
      <c r="A180" s="88">
        <v>1.3</v>
      </c>
      <c r="B180" s="854" t="s">
        <v>1086</v>
      </c>
      <c r="C180" s="91" t="s">
        <v>993</v>
      </c>
      <c r="D180" s="91" t="s">
        <v>725</v>
      </c>
      <c r="E180" s="979"/>
      <c r="F180" s="856"/>
      <c r="G180" s="265">
        <v>0</v>
      </c>
      <c r="H180" s="480">
        <v>0</v>
      </c>
      <c r="I180" s="480">
        <v>0</v>
      </c>
      <c r="J180" s="907">
        <v>612270.13</v>
      </c>
      <c r="K180" s="480">
        <v>0</v>
      </c>
      <c r="L180" s="265">
        <f t="shared" si="23"/>
        <v>612270.13</v>
      </c>
    </row>
    <row r="181" spans="1:12" ht="37.5">
      <c r="A181" s="88">
        <v>1.4</v>
      </c>
      <c r="B181" s="854"/>
      <c r="C181" s="91" t="s">
        <v>77</v>
      </c>
      <c r="D181" s="91" t="s">
        <v>726</v>
      </c>
      <c r="E181" s="979"/>
      <c r="F181" s="856" t="s">
        <v>1555</v>
      </c>
      <c r="G181" s="265">
        <v>0</v>
      </c>
      <c r="H181" s="480">
        <v>0</v>
      </c>
      <c r="I181" s="960">
        <v>440800</v>
      </c>
      <c r="J181" s="960">
        <v>1763200</v>
      </c>
      <c r="K181" s="480">
        <v>0</v>
      </c>
      <c r="L181" s="265">
        <f t="shared" si="23"/>
        <v>2204000</v>
      </c>
    </row>
    <row r="182" spans="1:12" ht="37.5">
      <c r="A182" s="88">
        <v>1.5</v>
      </c>
      <c r="B182" s="854" t="s">
        <v>1087</v>
      </c>
      <c r="C182" s="91" t="s">
        <v>910</v>
      </c>
      <c r="D182" s="91" t="s">
        <v>686</v>
      </c>
      <c r="E182" s="979"/>
      <c r="F182" s="856"/>
      <c r="G182" s="265">
        <v>2842915.59</v>
      </c>
      <c r="H182" s="480">
        <v>0</v>
      </c>
      <c r="I182" s="480">
        <v>0</v>
      </c>
      <c r="J182" s="480">
        <v>0</v>
      </c>
      <c r="K182" s="480">
        <v>0</v>
      </c>
      <c r="L182" s="265">
        <f t="shared" si="23"/>
        <v>2842915.59</v>
      </c>
    </row>
    <row r="183" spans="1:12" ht="37.5">
      <c r="A183" s="88">
        <v>1.6</v>
      </c>
      <c r="B183" s="854" t="s">
        <v>1413</v>
      </c>
      <c r="C183" s="91" t="s">
        <v>911</v>
      </c>
      <c r="D183" s="91" t="s">
        <v>686</v>
      </c>
      <c r="E183" s="979"/>
      <c r="F183" s="856"/>
      <c r="G183" s="265">
        <v>2615009.9</v>
      </c>
      <c r="H183" s="480">
        <v>0</v>
      </c>
      <c r="I183" s="480">
        <v>0</v>
      </c>
      <c r="J183" s="480">
        <v>0</v>
      </c>
      <c r="K183" s="480">
        <v>0</v>
      </c>
      <c r="L183" s="265">
        <f t="shared" si="23"/>
        <v>2615009.9</v>
      </c>
    </row>
    <row r="184" spans="1:12" ht="56.25">
      <c r="A184" s="88">
        <v>1.7</v>
      </c>
      <c r="B184" s="854" t="s">
        <v>1414</v>
      </c>
      <c r="C184" s="91" t="s">
        <v>912</v>
      </c>
      <c r="D184" s="91" t="s">
        <v>727</v>
      </c>
      <c r="E184" s="979"/>
      <c r="F184" s="856"/>
      <c r="G184" s="265">
        <v>1192783.17</v>
      </c>
      <c r="H184" s="480">
        <v>0</v>
      </c>
      <c r="I184" s="480">
        <v>0</v>
      </c>
      <c r="J184" s="480">
        <v>0</v>
      </c>
      <c r="K184" s="480">
        <v>0</v>
      </c>
      <c r="L184" s="265">
        <f t="shared" si="23"/>
        <v>1192783.17</v>
      </c>
    </row>
    <row r="185" spans="1:12" ht="56.25">
      <c r="A185" s="88">
        <v>1.8</v>
      </c>
      <c r="B185" s="854" t="s">
        <v>1088</v>
      </c>
      <c r="C185" s="91" t="s">
        <v>913</v>
      </c>
      <c r="D185" s="91" t="s">
        <v>728</v>
      </c>
      <c r="E185" s="979"/>
      <c r="F185" s="853"/>
      <c r="G185" s="480">
        <v>918523.99</v>
      </c>
      <c r="H185" s="480">
        <v>0</v>
      </c>
      <c r="I185" s="480">
        <v>0</v>
      </c>
      <c r="J185" s="480">
        <v>0</v>
      </c>
      <c r="K185" s="480">
        <v>0</v>
      </c>
      <c r="L185" s="480">
        <f t="shared" si="23"/>
        <v>918523.99</v>
      </c>
    </row>
    <row r="186" spans="1:12" ht="131.25">
      <c r="A186" s="482">
        <v>1.9</v>
      </c>
      <c r="B186" s="854" t="s">
        <v>1415</v>
      </c>
      <c r="C186" s="94" t="s">
        <v>1541</v>
      </c>
      <c r="D186" s="94" t="s">
        <v>728</v>
      </c>
      <c r="E186" s="979"/>
      <c r="F186" s="853"/>
      <c r="G186" s="480">
        <v>0</v>
      </c>
      <c r="H186" s="480">
        <v>0</v>
      </c>
      <c r="I186" s="480">
        <v>0</v>
      </c>
      <c r="J186" s="480">
        <v>968164.1</v>
      </c>
      <c r="K186" s="480">
        <v>0</v>
      </c>
      <c r="L186" s="480">
        <f t="shared" si="23"/>
        <v>968164.1</v>
      </c>
    </row>
    <row r="187" spans="1:12" ht="131.25">
      <c r="A187" s="482" t="s">
        <v>729</v>
      </c>
      <c r="B187" s="854" t="s">
        <v>1218</v>
      </c>
      <c r="C187" s="94" t="s">
        <v>1542</v>
      </c>
      <c r="D187" s="94" t="s">
        <v>728</v>
      </c>
      <c r="E187" s="979">
        <v>0.6</v>
      </c>
      <c r="F187" s="856"/>
      <c r="G187" s="265">
        <v>1401858.55</v>
      </c>
      <c r="H187" s="480">
        <v>0</v>
      </c>
      <c r="I187" s="480">
        <v>0</v>
      </c>
      <c r="J187" s="480">
        <v>1273539.3400000001</v>
      </c>
      <c r="K187" s="480">
        <v>0</v>
      </c>
      <c r="L187" s="265">
        <f t="shared" si="23"/>
        <v>2675397.89</v>
      </c>
    </row>
    <row r="188" spans="1:12" ht="93.75">
      <c r="A188" s="482">
        <v>1.1100000000000001</v>
      </c>
      <c r="B188" s="89" t="s">
        <v>1168</v>
      </c>
      <c r="C188" s="94" t="s">
        <v>948</v>
      </c>
      <c r="D188" s="94" t="s">
        <v>728</v>
      </c>
      <c r="E188" s="979">
        <v>0.52</v>
      </c>
      <c r="F188" s="859"/>
      <c r="G188" s="480">
        <v>101095.06</v>
      </c>
      <c r="H188" s="480">
        <v>69253.95</v>
      </c>
      <c r="I188" s="480">
        <v>0</v>
      </c>
      <c r="J188" s="480">
        <v>2226460.66</v>
      </c>
      <c r="K188" s="480">
        <v>0</v>
      </c>
      <c r="L188" s="480">
        <f t="shared" si="23"/>
        <v>2396809.67</v>
      </c>
    </row>
    <row r="189" spans="1:12" ht="75">
      <c r="A189" s="88">
        <v>1.1200000000000001</v>
      </c>
      <c r="B189" s="882" t="s">
        <v>1219</v>
      </c>
      <c r="C189" s="91" t="s">
        <v>949</v>
      </c>
      <c r="D189" s="91" t="s">
        <v>730</v>
      </c>
      <c r="E189" s="979">
        <v>0.98</v>
      </c>
      <c r="F189" s="911"/>
      <c r="G189" s="265">
        <v>298697.25</v>
      </c>
      <c r="H189" s="480">
        <v>0</v>
      </c>
      <c r="I189" s="480">
        <v>0</v>
      </c>
      <c r="J189" s="480">
        <v>0</v>
      </c>
      <c r="K189" s="480">
        <v>0</v>
      </c>
      <c r="L189" s="265">
        <f t="shared" si="23"/>
        <v>298697.25</v>
      </c>
    </row>
    <row r="190" spans="1:12" ht="75">
      <c r="A190" s="88">
        <v>1.1299999999999999</v>
      </c>
      <c r="B190" s="882" t="s">
        <v>1125</v>
      </c>
      <c r="C190" s="91" t="s">
        <v>1057</v>
      </c>
      <c r="D190" s="91" t="s">
        <v>692</v>
      </c>
      <c r="E190" s="979">
        <v>1</v>
      </c>
      <c r="F190" s="908"/>
      <c r="G190" s="265">
        <v>1141037.7</v>
      </c>
      <c r="H190" s="480">
        <v>0</v>
      </c>
      <c r="I190" s="480">
        <v>0</v>
      </c>
      <c r="J190" s="480">
        <v>0</v>
      </c>
      <c r="K190" s="480">
        <v>0</v>
      </c>
      <c r="L190" s="265">
        <f t="shared" si="23"/>
        <v>1141037.7</v>
      </c>
    </row>
    <row r="191" spans="1:12" ht="37.5">
      <c r="A191" s="88">
        <v>1.1399999999999999</v>
      </c>
      <c r="B191" s="377" t="s">
        <v>888</v>
      </c>
      <c r="C191" s="91" t="s">
        <v>994</v>
      </c>
      <c r="D191" s="91" t="s">
        <v>731</v>
      </c>
      <c r="E191" s="979">
        <v>0.97499999999999998</v>
      </c>
      <c r="F191" s="856"/>
      <c r="G191" s="265">
        <v>1224088.3799999999</v>
      </c>
      <c r="H191" s="480">
        <v>0</v>
      </c>
      <c r="I191" s="480">
        <v>0</v>
      </c>
      <c r="J191" s="480">
        <v>0</v>
      </c>
      <c r="K191" s="480">
        <v>0</v>
      </c>
      <c r="L191" s="265">
        <f t="shared" si="23"/>
        <v>1224088.3799999999</v>
      </c>
    </row>
    <row r="192" spans="1:12" ht="37.5">
      <c r="A192" s="88">
        <v>1.1499999999999999</v>
      </c>
      <c r="B192" s="854"/>
      <c r="C192" s="94" t="s">
        <v>732</v>
      </c>
      <c r="D192" s="94" t="s">
        <v>69</v>
      </c>
      <c r="E192" s="979"/>
      <c r="F192" s="856"/>
      <c r="G192" s="265">
        <f>7668690.71-1505441.4-1458535.35-1458535.35-1458535.35-784011.93-1003631.33</f>
        <v>0</v>
      </c>
      <c r="H192" s="480">
        <v>0</v>
      </c>
      <c r="I192" s="480">
        <v>0</v>
      </c>
      <c r="J192" s="480">
        <v>0</v>
      </c>
      <c r="K192" s="480">
        <v>0</v>
      </c>
      <c r="L192" s="265">
        <f t="shared" si="23"/>
        <v>0</v>
      </c>
    </row>
    <row r="193" spans="1:12" ht="18.75">
      <c r="A193" s="88" t="s">
        <v>995</v>
      </c>
      <c r="B193" s="854"/>
      <c r="C193" s="94" t="s">
        <v>734</v>
      </c>
      <c r="D193" s="532"/>
      <c r="E193" s="979"/>
      <c r="F193" s="853"/>
      <c r="G193" s="480">
        <f>0+6492691.34-1505441.4-1458535.35-1458535.35-1458535.35-611643.89</f>
        <v>0</v>
      </c>
      <c r="H193" s="480">
        <f>SUM(H199:H207)</f>
        <v>0</v>
      </c>
      <c r="I193" s="480">
        <f>SUM(I199:I207)</f>
        <v>0</v>
      </c>
      <c r="J193" s="480">
        <v>0</v>
      </c>
      <c r="K193" s="480">
        <v>0</v>
      </c>
      <c r="L193" s="480">
        <f t="shared" si="23"/>
        <v>0</v>
      </c>
    </row>
    <row r="194" spans="1:12" s="138" customFormat="1" ht="56.25">
      <c r="A194" s="88" t="s">
        <v>996</v>
      </c>
      <c r="B194" s="377" t="s">
        <v>763</v>
      </c>
      <c r="C194" s="91" t="s">
        <v>782</v>
      </c>
      <c r="D194" s="91"/>
      <c r="E194" s="982">
        <v>1</v>
      </c>
      <c r="F194" s="303"/>
      <c r="G194" s="265">
        <v>1505441.4</v>
      </c>
      <c r="H194" s="334">
        <f>SUM(H203:H208)</f>
        <v>0</v>
      </c>
      <c r="I194" s="334">
        <f>SUM(I203:I208)</f>
        <v>0</v>
      </c>
      <c r="J194" s="334">
        <v>0</v>
      </c>
      <c r="K194" s="334">
        <v>0</v>
      </c>
      <c r="L194" s="334">
        <f t="shared" si="23"/>
        <v>1505441.4</v>
      </c>
    </row>
    <row r="195" spans="1:12" s="138" customFormat="1" ht="37.5">
      <c r="A195" s="88" t="s">
        <v>997</v>
      </c>
      <c r="B195" s="377" t="s">
        <v>762</v>
      </c>
      <c r="C195" s="91" t="s">
        <v>783</v>
      </c>
      <c r="D195" s="91" t="s">
        <v>29</v>
      </c>
      <c r="E195" s="979">
        <v>0.65</v>
      </c>
      <c r="F195" s="559"/>
      <c r="G195" s="265">
        <v>1458535.35</v>
      </c>
      <c r="H195" s="334">
        <f>SUM(H205:H209)</f>
        <v>0</v>
      </c>
      <c r="I195" s="334">
        <f>SUM(I205:I209)</f>
        <v>0</v>
      </c>
      <c r="J195" s="334">
        <v>0</v>
      </c>
      <c r="K195" s="334">
        <v>0</v>
      </c>
      <c r="L195" s="334">
        <f t="shared" si="23"/>
        <v>1458535.35</v>
      </c>
    </row>
    <row r="196" spans="1:12" s="138" customFormat="1" ht="93" customHeight="1">
      <c r="A196" s="88" t="s">
        <v>998</v>
      </c>
      <c r="B196" s="377" t="s">
        <v>764</v>
      </c>
      <c r="C196" s="91" t="s">
        <v>784</v>
      </c>
      <c r="D196" s="91"/>
      <c r="E196" s="983">
        <v>1</v>
      </c>
      <c r="F196" s="858" t="s">
        <v>1467</v>
      </c>
      <c r="G196" s="265">
        <f>1458535.35-23861.74</f>
        <v>1434673.61</v>
      </c>
      <c r="H196" s="334">
        <f>SUM(H206:H210)</f>
        <v>0</v>
      </c>
      <c r="I196" s="334">
        <f>SUM(I206:I210)</f>
        <v>0</v>
      </c>
      <c r="J196" s="334">
        <v>0</v>
      </c>
      <c r="K196" s="334">
        <v>0</v>
      </c>
      <c r="L196" s="334">
        <f t="shared" si="23"/>
        <v>1434673.61</v>
      </c>
    </row>
    <row r="197" spans="1:12" s="138" customFormat="1" ht="56.25">
      <c r="A197" s="88" t="s">
        <v>999</v>
      </c>
      <c r="B197" s="377" t="s">
        <v>766</v>
      </c>
      <c r="C197" s="91" t="s">
        <v>785</v>
      </c>
      <c r="D197" s="91"/>
      <c r="E197" s="559">
        <v>100</v>
      </c>
      <c r="F197" s="559"/>
      <c r="G197" s="265">
        <v>1458535.35</v>
      </c>
      <c r="H197" s="334">
        <v>0</v>
      </c>
      <c r="I197" s="334">
        <v>0</v>
      </c>
      <c r="J197" s="334">
        <v>0</v>
      </c>
      <c r="K197" s="334">
        <v>0</v>
      </c>
      <c r="L197" s="334">
        <f t="shared" si="23"/>
        <v>1458535.35</v>
      </c>
    </row>
    <row r="198" spans="1:12" s="138" customFormat="1" ht="37.5">
      <c r="A198" s="88" t="s">
        <v>1051</v>
      </c>
      <c r="B198" s="377" t="s">
        <v>1107</v>
      </c>
      <c r="C198" s="91" t="s">
        <v>1052</v>
      </c>
      <c r="D198" s="91"/>
      <c r="E198" s="528">
        <v>72</v>
      </c>
      <c r="F198" s="875"/>
      <c r="G198" s="480">
        <f>611643.89+49488.61</f>
        <v>661132.5</v>
      </c>
      <c r="H198" s="334">
        <v>0</v>
      </c>
      <c r="I198" s="334">
        <v>0</v>
      </c>
      <c r="J198" s="334">
        <v>0</v>
      </c>
      <c r="K198" s="334">
        <v>0</v>
      </c>
      <c r="L198" s="334">
        <f t="shared" si="23"/>
        <v>661132.5</v>
      </c>
    </row>
    <row r="199" spans="1:12" ht="18.75">
      <c r="A199" s="340" t="s">
        <v>1000</v>
      </c>
      <c r="B199" s="89"/>
      <c r="C199" s="91" t="s">
        <v>736</v>
      </c>
      <c r="D199" s="91"/>
      <c r="E199" s="856"/>
      <c r="F199" s="856"/>
      <c r="G199" s="265">
        <f>0+1003631.33+539078.81+43936.77-1108830.31-259854.71-129927.35-23070.86-64963.68</f>
        <v>9.4587448984384537E-11</v>
      </c>
      <c r="H199" s="480">
        <f>SUM(H203:H208)</f>
        <v>0</v>
      </c>
      <c r="I199" s="480">
        <f>SUM(I203:I208)</f>
        <v>0</v>
      </c>
      <c r="J199" s="480">
        <v>0</v>
      </c>
      <c r="K199" s="480">
        <v>0</v>
      </c>
      <c r="L199" s="265">
        <f t="shared" si="23"/>
        <v>9.4587448984384537E-11</v>
      </c>
    </row>
    <row r="200" spans="1:12" ht="102" customHeight="1">
      <c r="A200" s="340" t="s">
        <v>1001</v>
      </c>
      <c r="B200" s="882" t="s">
        <v>859</v>
      </c>
      <c r="C200" s="91" t="s">
        <v>854</v>
      </c>
      <c r="D200" s="91"/>
      <c r="E200" s="984">
        <v>1</v>
      </c>
      <c r="F200" s="858" t="s">
        <v>1468</v>
      </c>
      <c r="G200" s="265">
        <f>784011.93+129927.35-20130.27</f>
        <v>893809.01</v>
      </c>
      <c r="H200" s="480">
        <v>0</v>
      </c>
      <c r="I200" s="480">
        <v>0</v>
      </c>
      <c r="J200" s="480">
        <v>0</v>
      </c>
      <c r="K200" s="480">
        <v>0</v>
      </c>
      <c r="L200" s="265">
        <f t="shared" si="23"/>
        <v>893809.01</v>
      </c>
    </row>
    <row r="201" spans="1:12" ht="56.25">
      <c r="A201" s="340" t="s">
        <v>1002</v>
      </c>
      <c r="B201" s="882" t="s">
        <v>889</v>
      </c>
      <c r="C201" s="91" t="s">
        <v>885</v>
      </c>
      <c r="D201" s="91"/>
      <c r="E201" s="984">
        <v>0.93</v>
      </c>
      <c r="F201" s="856"/>
      <c r="G201" s="265">
        <f>1108830.31+259854.71</f>
        <v>1368685.02</v>
      </c>
      <c r="H201" s="480">
        <v>0</v>
      </c>
      <c r="I201" s="480">
        <v>0</v>
      </c>
      <c r="J201" s="480">
        <v>0</v>
      </c>
      <c r="K201" s="480">
        <v>0</v>
      </c>
      <c r="L201" s="265">
        <f t="shared" si="23"/>
        <v>1368685.02</v>
      </c>
    </row>
    <row r="202" spans="1:12" ht="37.5">
      <c r="A202" s="340" t="s">
        <v>1366</v>
      </c>
      <c r="B202" s="882" t="s">
        <v>1367</v>
      </c>
      <c r="C202" s="91" t="s">
        <v>1368</v>
      </c>
      <c r="D202" s="91"/>
      <c r="E202" s="984">
        <v>0.2</v>
      </c>
      <c r="F202" s="856"/>
      <c r="G202" s="265">
        <v>64963.68</v>
      </c>
      <c r="H202" s="480">
        <v>0</v>
      </c>
      <c r="I202" s="480">
        <v>0</v>
      </c>
      <c r="J202" s="480">
        <v>0</v>
      </c>
      <c r="K202" s="480">
        <v>0</v>
      </c>
      <c r="L202" s="265">
        <f t="shared" si="23"/>
        <v>64963.68</v>
      </c>
    </row>
    <row r="203" spans="1:12" ht="37.5">
      <c r="A203" s="88">
        <v>1.1599999999999999</v>
      </c>
      <c r="B203" s="854"/>
      <c r="C203" s="94" t="s">
        <v>1544</v>
      </c>
      <c r="D203" s="94" t="s">
        <v>1543</v>
      </c>
      <c r="E203" s="984"/>
      <c r="F203" s="856"/>
      <c r="G203" s="265">
        <f>7413237.31-0.02</f>
        <v>7413237.29</v>
      </c>
      <c r="H203" s="480">
        <v>0</v>
      </c>
      <c r="I203" s="480">
        <v>0</v>
      </c>
      <c r="J203" s="480">
        <v>0</v>
      </c>
      <c r="K203" s="480">
        <v>0</v>
      </c>
      <c r="L203" s="265">
        <f t="shared" si="23"/>
        <v>7413237.29</v>
      </c>
    </row>
    <row r="204" spans="1:12" ht="18.75">
      <c r="A204" s="88" t="s">
        <v>733</v>
      </c>
      <c r="B204" s="854"/>
      <c r="C204" s="94" t="s">
        <v>736</v>
      </c>
      <c r="D204" s="94"/>
      <c r="E204" s="984"/>
      <c r="F204" s="856"/>
      <c r="G204" s="265"/>
      <c r="H204" s="480"/>
      <c r="I204" s="480"/>
      <c r="J204" s="480"/>
      <c r="K204" s="480"/>
      <c r="L204" s="265"/>
    </row>
    <row r="205" spans="1:12" ht="18.75">
      <c r="A205" s="88" t="s">
        <v>735</v>
      </c>
      <c r="B205" s="854"/>
      <c r="C205" s="94" t="s">
        <v>1089</v>
      </c>
      <c r="D205" s="94"/>
      <c r="E205" s="984"/>
      <c r="F205" s="856"/>
      <c r="G205" s="265">
        <v>0</v>
      </c>
      <c r="H205" s="480">
        <v>0</v>
      </c>
      <c r="I205" s="480">
        <v>0</v>
      </c>
      <c r="J205" s="480">
        <v>0</v>
      </c>
      <c r="K205" s="480">
        <v>0</v>
      </c>
      <c r="L205" s="265">
        <f t="shared" si="23"/>
        <v>0</v>
      </c>
    </row>
    <row r="206" spans="1:12" ht="18.75">
      <c r="A206" s="88" t="s">
        <v>1003</v>
      </c>
      <c r="B206" s="854"/>
      <c r="C206" s="94" t="s">
        <v>740</v>
      </c>
      <c r="D206" s="94"/>
      <c r="E206" s="984"/>
      <c r="F206" s="856"/>
      <c r="G206" s="265">
        <v>0</v>
      </c>
      <c r="H206" s="480">
        <v>0</v>
      </c>
      <c r="I206" s="480">
        <v>0</v>
      </c>
      <c r="J206" s="480">
        <v>0</v>
      </c>
      <c r="K206" s="480">
        <v>0</v>
      </c>
      <c r="L206" s="265">
        <f t="shared" si="23"/>
        <v>0</v>
      </c>
    </row>
    <row r="207" spans="1:12" ht="37.5">
      <c r="A207" s="88">
        <v>1.17</v>
      </c>
      <c r="B207" s="854"/>
      <c r="C207" s="918" t="s">
        <v>741</v>
      </c>
      <c r="D207" s="94"/>
      <c r="E207" s="984"/>
      <c r="F207" s="856"/>
      <c r="G207" s="265">
        <v>0</v>
      </c>
      <c r="H207" s="480">
        <f t="shared" ref="H207:I207" si="24">SUM(H208:H213)</f>
        <v>0</v>
      </c>
      <c r="I207" s="480">
        <f t="shared" si="24"/>
        <v>0</v>
      </c>
      <c r="J207" s="480">
        <v>0</v>
      </c>
      <c r="K207" s="480">
        <v>0</v>
      </c>
      <c r="L207" s="265">
        <f t="shared" si="23"/>
        <v>0</v>
      </c>
    </row>
    <row r="208" spans="1:12" ht="93.75">
      <c r="A208" s="88" t="s">
        <v>737</v>
      </c>
      <c r="B208" s="854" t="s">
        <v>865</v>
      </c>
      <c r="C208" s="243" t="s">
        <v>91</v>
      </c>
      <c r="D208" s="244" t="s">
        <v>742</v>
      </c>
      <c r="E208" s="984">
        <v>1</v>
      </c>
      <c r="F208" s="858" t="s">
        <v>1470</v>
      </c>
      <c r="G208" s="265">
        <f>735199.44-11029.13</f>
        <v>724170.30999999994</v>
      </c>
      <c r="H208" s="480">
        <v>0</v>
      </c>
      <c r="I208" s="480">
        <v>0</v>
      </c>
      <c r="J208" s="265">
        <v>735199.44</v>
      </c>
      <c r="K208" s="480">
        <v>0</v>
      </c>
      <c r="L208" s="265">
        <f t="shared" si="23"/>
        <v>1459369.75</v>
      </c>
    </row>
    <row r="209" spans="1:12" ht="99" customHeight="1">
      <c r="A209" s="88" t="s">
        <v>738</v>
      </c>
      <c r="B209" s="854" t="s">
        <v>770</v>
      </c>
      <c r="C209" s="243" t="s">
        <v>759</v>
      </c>
      <c r="D209" s="244" t="s">
        <v>743</v>
      </c>
      <c r="E209" s="984">
        <v>1</v>
      </c>
      <c r="F209" s="858" t="s">
        <v>1471</v>
      </c>
      <c r="G209" s="265">
        <f>1549935.98-21146.19</f>
        <v>1528789.79</v>
      </c>
      <c r="H209" s="480">
        <v>0</v>
      </c>
      <c r="I209" s="480">
        <v>0</v>
      </c>
      <c r="J209" s="265">
        <v>1549935.98</v>
      </c>
      <c r="K209" s="480">
        <v>0</v>
      </c>
      <c r="L209" s="265">
        <f t="shared" si="23"/>
        <v>3078725.77</v>
      </c>
    </row>
    <row r="210" spans="1:12" ht="107.25" customHeight="1">
      <c r="A210" s="88" t="s">
        <v>739</v>
      </c>
      <c r="B210" s="854" t="s">
        <v>773</v>
      </c>
      <c r="C210" s="243" t="s">
        <v>760</v>
      </c>
      <c r="D210" s="244" t="s">
        <v>744</v>
      </c>
      <c r="E210" s="979">
        <v>1</v>
      </c>
      <c r="F210" s="858" t="s">
        <v>1531</v>
      </c>
      <c r="G210" s="480">
        <f>1921293.32-99237.75</f>
        <v>1822055.57</v>
      </c>
      <c r="H210" s="480">
        <v>0</v>
      </c>
      <c r="I210" s="480">
        <v>0</v>
      </c>
      <c r="J210" s="480">
        <v>1921293.32</v>
      </c>
      <c r="K210" s="480">
        <v>0</v>
      </c>
      <c r="L210" s="480">
        <f t="shared" si="23"/>
        <v>3743348.89</v>
      </c>
    </row>
    <row r="211" spans="1:12" ht="75">
      <c r="A211" s="88" t="s">
        <v>1004</v>
      </c>
      <c r="B211" s="854" t="s">
        <v>771</v>
      </c>
      <c r="C211" s="243" t="s">
        <v>745</v>
      </c>
      <c r="D211" s="244" t="s">
        <v>682</v>
      </c>
      <c r="E211" s="984">
        <v>1</v>
      </c>
      <c r="F211" s="856"/>
      <c r="G211" s="265">
        <v>1320469.22</v>
      </c>
      <c r="H211" s="480">
        <v>0</v>
      </c>
      <c r="I211" s="480">
        <v>0</v>
      </c>
      <c r="J211" s="265">
        <v>1320469.22</v>
      </c>
      <c r="K211" s="480">
        <v>0</v>
      </c>
      <c r="L211" s="265">
        <f t="shared" si="23"/>
        <v>2640938.44</v>
      </c>
    </row>
    <row r="212" spans="1:12" ht="101.25" customHeight="1">
      <c r="A212" s="88" t="s">
        <v>1005</v>
      </c>
      <c r="B212" s="854" t="s">
        <v>769</v>
      </c>
      <c r="C212" s="118" t="s">
        <v>746</v>
      </c>
      <c r="D212" s="117" t="s">
        <v>747</v>
      </c>
      <c r="E212" s="984">
        <v>1</v>
      </c>
      <c r="F212" s="858" t="s">
        <v>1469</v>
      </c>
      <c r="G212" s="480">
        <f>1505830.53-67328.88</f>
        <v>1438501.65</v>
      </c>
      <c r="H212" s="342">
        <v>0</v>
      </c>
      <c r="I212" s="480">
        <v>0</v>
      </c>
      <c r="J212" s="480">
        <v>1505830.53</v>
      </c>
      <c r="K212" s="480">
        <v>0</v>
      </c>
      <c r="L212" s="480">
        <f t="shared" si="23"/>
        <v>2944332.1799999997</v>
      </c>
    </row>
    <row r="213" spans="1:12" ht="75">
      <c r="A213" s="88" t="s">
        <v>1006</v>
      </c>
      <c r="B213" s="854" t="s">
        <v>768</v>
      </c>
      <c r="C213" s="118" t="s">
        <v>748</v>
      </c>
      <c r="D213" s="94" t="s">
        <v>1556</v>
      </c>
      <c r="E213" s="986">
        <v>1</v>
      </c>
      <c r="F213" s="858" t="s">
        <v>1550</v>
      </c>
      <c r="G213" s="265">
        <f>1319996.99+57891.7+25448.04</f>
        <v>1403336.73</v>
      </c>
      <c r="H213" s="480">
        <v>0</v>
      </c>
      <c r="I213" s="480">
        <v>0</v>
      </c>
      <c r="J213" s="265">
        <v>1319996.99</v>
      </c>
      <c r="K213" s="480">
        <v>0</v>
      </c>
      <c r="L213" s="265">
        <f t="shared" si="23"/>
        <v>2723333.7199999997</v>
      </c>
    </row>
    <row r="214" spans="1:12" ht="75">
      <c r="A214" s="303">
        <v>1.18</v>
      </c>
      <c r="B214" s="857" t="s">
        <v>878</v>
      </c>
      <c r="C214" s="118" t="s">
        <v>786</v>
      </c>
      <c r="D214" s="94" t="s">
        <v>787</v>
      </c>
      <c r="E214" s="979">
        <v>1</v>
      </c>
      <c r="F214" s="859"/>
      <c r="G214" s="480">
        <v>0</v>
      </c>
      <c r="H214" s="480">
        <v>41194.43</v>
      </c>
      <c r="I214" s="480">
        <v>100000</v>
      </c>
      <c r="J214" s="480">
        <v>0</v>
      </c>
      <c r="K214" s="480">
        <v>0</v>
      </c>
      <c r="L214" s="480">
        <f t="shared" si="23"/>
        <v>141194.43</v>
      </c>
    </row>
    <row r="215" spans="1:12" ht="75">
      <c r="A215" s="303">
        <v>1.19</v>
      </c>
      <c r="B215" s="854" t="s">
        <v>1416</v>
      </c>
      <c r="C215" s="912" t="s">
        <v>914</v>
      </c>
      <c r="D215" s="91" t="s">
        <v>726</v>
      </c>
      <c r="E215" s="856"/>
      <c r="F215" s="856"/>
      <c r="G215" s="265">
        <v>673905.83</v>
      </c>
      <c r="H215" s="265">
        <v>0</v>
      </c>
      <c r="I215" s="265">
        <v>0</v>
      </c>
      <c r="J215" s="265">
        <v>0</v>
      </c>
      <c r="K215" s="265">
        <v>0</v>
      </c>
      <c r="L215" s="265">
        <f t="shared" si="23"/>
        <v>673905.83</v>
      </c>
    </row>
    <row r="216" spans="1:12" ht="56.25">
      <c r="A216" s="474" t="s">
        <v>789</v>
      </c>
      <c r="B216" s="880" t="s">
        <v>842</v>
      </c>
      <c r="C216" s="912" t="s">
        <v>915</v>
      </c>
      <c r="D216" s="91" t="s">
        <v>726</v>
      </c>
      <c r="E216" s="979">
        <v>0.12</v>
      </c>
      <c r="F216" s="856"/>
      <c r="G216" s="265">
        <v>582648.31999999995</v>
      </c>
      <c r="H216" s="265">
        <v>0</v>
      </c>
      <c r="I216" s="265">
        <v>0</v>
      </c>
      <c r="J216" s="265">
        <v>0</v>
      </c>
      <c r="K216" s="265">
        <v>0</v>
      </c>
      <c r="L216" s="265">
        <f t="shared" si="23"/>
        <v>582648.31999999995</v>
      </c>
    </row>
    <row r="217" spans="1:12" ht="18.75">
      <c r="A217" s="303">
        <v>1.21</v>
      </c>
      <c r="B217" s="919"/>
      <c r="C217" s="927" t="s">
        <v>916</v>
      </c>
      <c r="D217" s="920"/>
      <c r="E217" s="856"/>
      <c r="F217" s="856"/>
      <c r="G217" s="265"/>
      <c r="H217" s="265">
        <v>0</v>
      </c>
      <c r="I217" s="265">
        <v>0</v>
      </c>
      <c r="J217" s="265">
        <v>0</v>
      </c>
      <c r="K217" s="265">
        <v>0</v>
      </c>
      <c r="L217" s="265">
        <f t="shared" si="23"/>
        <v>0</v>
      </c>
    </row>
    <row r="218" spans="1:12" ht="37.5">
      <c r="A218" s="303" t="s">
        <v>1007</v>
      </c>
      <c r="B218" s="857" t="s">
        <v>1108</v>
      </c>
      <c r="C218" s="912" t="s">
        <v>917</v>
      </c>
      <c r="D218" s="920" t="s">
        <v>918</v>
      </c>
      <c r="E218" s="856"/>
      <c r="F218" s="856"/>
      <c r="G218" s="921">
        <v>649983.53</v>
      </c>
      <c r="H218" s="265">
        <v>0</v>
      </c>
      <c r="I218" s="265">
        <v>0</v>
      </c>
      <c r="J218" s="265">
        <v>0</v>
      </c>
      <c r="K218" s="265">
        <v>0</v>
      </c>
      <c r="L218" s="265">
        <f t="shared" si="23"/>
        <v>649983.53</v>
      </c>
    </row>
    <row r="219" spans="1:12" ht="56.25">
      <c r="A219" s="303" t="s">
        <v>1008</v>
      </c>
      <c r="B219" s="857" t="s">
        <v>1108</v>
      </c>
      <c r="C219" s="912" t="s">
        <v>919</v>
      </c>
      <c r="D219" s="920" t="s">
        <v>920</v>
      </c>
      <c r="E219" s="856"/>
      <c r="F219" s="856"/>
      <c r="G219" s="921">
        <v>754698.13</v>
      </c>
      <c r="H219" s="265">
        <v>0</v>
      </c>
      <c r="I219" s="265">
        <v>0</v>
      </c>
      <c r="J219" s="265">
        <v>0</v>
      </c>
      <c r="K219" s="265">
        <v>0</v>
      </c>
      <c r="L219" s="265">
        <f t="shared" si="23"/>
        <v>754698.13</v>
      </c>
    </row>
    <row r="220" spans="1:12" ht="56.25">
      <c r="A220" s="303" t="s">
        <v>1009</v>
      </c>
      <c r="B220" s="857" t="s">
        <v>1108</v>
      </c>
      <c r="C220" s="912" t="s">
        <v>921</v>
      </c>
      <c r="D220" s="920" t="s">
        <v>68</v>
      </c>
      <c r="E220" s="856"/>
      <c r="F220" s="856"/>
      <c r="G220" s="921">
        <v>461024.36</v>
      </c>
      <c r="H220" s="265">
        <v>0</v>
      </c>
      <c r="I220" s="265">
        <v>0</v>
      </c>
      <c r="J220" s="265">
        <v>0</v>
      </c>
      <c r="K220" s="265">
        <v>0</v>
      </c>
      <c r="L220" s="265">
        <f t="shared" si="23"/>
        <v>461024.36</v>
      </c>
    </row>
    <row r="221" spans="1:12" ht="37.5">
      <c r="A221" s="303" t="s">
        <v>1010</v>
      </c>
      <c r="B221" s="857" t="s">
        <v>1108</v>
      </c>
      <c r="C221" s="912" t="s">
        <v>922</v>
      </c>
      <c r="D221" s="920" t="s">
        <v>923</v>
      </c>
      <c r="E221" s="856"/>
      <c r="F221" s="856"/>
      <c r="G221" s="921">
        <v>375181.62</v>
      </c>
      <c r="H221" s="265">
        <v>0</v>
      </c>
      <c r="I221" s="265">
        <v>0</v>
      </c>
      <c r="J221" s="265">
        <v>0</v>
      </c>
      <c r="K221" s="265">
        <v>0</v>
      </c>
      <c r="L221" s="265">
        <f t="shared" si="23"/>
        <v>375181.62</v>
      </c>
    </row>
    <row r="222" spans="1:12" ht="37.5">
      <c r="A222" s="303" t="s">
        <v>1011</v>
      </c>
      <c r="B222" s="857" t="s">
        <v>1108</v>
      </c>
      <c r="C222" s="912" t="s">
        <v>924</v>
      </c>
      <c r="D222" s="920" t="s">
        <v>925</v>
      </c>
      <c r="E222" s="856"/>
      <c r="F222" s="856"/>
      <c r="G222" s="921">
        <v>87621.59</v>
      </c>
      <c r="H222" s="265">
        <v>0</v>
      </c>
      <c r="I222" s="265">
        <v>0</v>
      </c>
      <c r="J222" s="265">
        <v>0</v>
      </c>
      <c r="K222" s="265">
        <v>0</v>
      </c>
      <c r="L222" s="265">
        <f t="shared" si="23"/>
        <v>87621.59</v>
      </c>
    </row>
    <row r="223" spans="1:12" ht="37.5">
      <c r="A223" s="303" t="s">
        <v>1012</v>
      </c>
      <c r="B223" s="857" t="s">
        <v>1108</v>
      </c>
      <c r="C223" s="912" t="s">
        <v>926</v>
      </c>
      <c r="D223" s="920" t="s">
        <v>927</v>
      </c>
      <c r="E223" s="856"/>
      <c r="F223" s="856"/>
      <c r="G223" s="921">
        <v>221837.91</v>
      </c>
      <c r="H223" s="265">
        <v>0</v>
      </c>
      <c r="I223" s="265">
        <v>0</v>
      </c>
      <c r="J223" s="265">
        <v>0</v>
      </c>
      <c r="K223" s="265">
        <v>0</v>
      </c>
      <c r="L223" s="265">
        <f t="shared" si="23"/>
        <v>221837.91</v>
      </c>
    </row>
    <row r="224" spans="1:12" ht="37.5">
      <c r="A224" s="303" t="s">
        <v>1013</v>
      </c>
      <c r="B224" s="857" t="s">
        <v>1108</v>
      </c>
      <c r="C224" s="912" t="s">
        <v>928</v>
      </c>
      <c r="D224" s="920" t="s">
        <v>929</v>
      </c>
      <c r="E224" s="856"/>
      <c r="F224" s="856"/>
      <c r="G224" s="921">
        <v>425613.45</v>
      </c>
      <c r="H224" s="265">
        <v>0</v>
      </c>
      <c r="I224" s="265">
        <v>0</v>
      </c>
      <c r="J224" s="265">
        <v>0</v>
      </c>
      <c r="K224" s="265">
        <v>0</v>
      </c>
      <c r="L224" s="265">
        <f t="shared" si="23"/>
        <v>425613.45</v>
      </c>
    </row>
    <row r="225" spans="1:12" ht="37.5">
      <c r="A225" s="303" t="s">
        <v>1014</v>
      </c>
      <c r="B225" s="857" t="s">
        <v>1108</v>
      </c>
      <c r="C225" s="912" t="s">
        <v>930</v>
      </c>
      <c r="D225" s="920" t="s">
        <v>931</v>
      </c>
      <c r="E225" s="856"/>
      <c r="F225" s="856"/>
      <c r="G225" s="921">
        <v>289710.73</v>
      </c>
      <c r="H225" s="265">
        <v>0</v>
      </c>
      <c r="I225" s="265">
        <v>0</v>
      </c>
      <c r="J225" s="265">
        <v>0</v>
      </c>
      <c r="K225" s="265">
        <v>0</v>
      </c>
      <c r="L225" s="265">
        <f t="shared" si="23"/>
        <v>289710.73</v>
      </c>
    </row>
    <row r="226" spans="1:12" ht="37.5">
      <c r="A226" s="303" t="s">
        <v>1015</v>
      </c>
      <c r="B226" s="857" t="s">
        <v>1108</v>
      </c>
      <c r="C226" s="912" t="s">
        <v>932</v>
      </c>
      <c r="D226" s="920" t="s">
        <v>933</v>
      </c>
      <c r="E226" s="922"/>
      <c r="F226" s="922"/>
      <c r="G226" s="921">
        <v>117594.34</v>
      </c>
      <c r="H226" s="265">
        <v>0</v>
      </c>
      <c r="I226" s="265">
        <v>0</v>
      </c>
      <c r="J226" s="265">
        <v>0</v>
      </c>
      <c r="K226" s="265">
        <v>0</v>
      </c>
      <c r="L226" s="265">
        <f t="shared" si="23"/>
        <v>117594.34</v>
      </c>
    </row>
    <row r="227" spans="1:12" ht="75">
      <c r="A227" s="303" t="s">
        <v>1016</v>
      </c>
      <c r="B227" s="857" t="s">
        <v>1115</v>
      </c>
      <c r="C227" s="912" t="s">
        <v>934</v>
      </c>
      <c r="D227" s="920" t="s">
        <v>66</v>
      </c>
      <c r="E227" s="985">
        <v>1</v>
      </c>
      <c r="F227" s="908"/>
      <c r="G227" s="921">
        <f>1000000+300049.78</f>
        <v>1300049.78</v>
      </c>
      <c r="H227" s="265">
        <v>0</v>
      </c>
      <c r="I227" s="265">
        <v>0</v>
      </c>
      <c r="J227" s="265">
        <v>0</v>
      </c>
      <c r="K227" s="265">
        <v>0</v>
      </c>
      <c r="L227" s="265">
        <f t="shared" si="23"/>
        <v>1300049.78</v>
      </c>
    </row>
    <row r="228" spans="1:12" ht="37.5">
      <c r="A228" s="303" t="s">
        <v>1017</v>
      </c>
      <c r="B228" s="857" t="s">
        <v>1159</v>
      </c>
      <c r="C228" s="910" t="s">
        <v>1090</v>
      </c>
      <c r="D228" s="920" t="s">
        <v>42</v>
      </c>
      <c r="E228" s="985">
        <v>0.96</v>
      </c>
      <c r="F228" s="856"/>
      <c r="G228" s="921">
        <f>500000+62285.74</f>
        <v>562285.74</v>
      </c>
      <c r="H228" s="265">
        <v>0</v>
      </c>
      <c r="I228" s="265">
        <v>0</v>
      </c>
      <c r="J228" s="265">
        <v>0</v>
      </c>
      <c r="K228" s="265">
        <v>0</v>
      </c>
      <c r="L228" s="265">
        <f t="shared" si="23"/>
        <v>562285.74</v>
      </c>
    </row>
    <row r="229" spans="1:12" ht="37.5">
      <c r="A229" s="303" t="s">
        <v>1018</v>
      </c>
      <c r="B229" s="857" t="s">
        <v>1108</v>
      </c>
      <c r="C229" s="912" t="s">
        <v>935</v>
      </c>
      <c r="D229" s="920" t="s">
        <v>67</v>
      </c>
      <c r="E229" s="856"/>
      <c r="F229" s="856"/>
      <c r="G229" s="923">
        <v>354594.85</v>
      </c>
      <c r="H229" s="265">
        <v>0</v>
      </c>
      <c r="I229" s="265">
        <v>0</v>
      </c>
      <c r="J229" s="265">
        <v>0</v>
      </c>
      <c r="K229" s="265">
        <v>0</v>
      </c>
      <c r="L229" s="265">
        <f t="shared" si="23"/>
        <v>354594.85</v>
      </c>
    </row>
    <row r="230" spans="1:12" ht="37.5">
      <c r="A230" s="88" t="s">
        <v>1019</v>
      </c>
      <c r="B230" s="857" t="s">
        <v>1108</v>
      </c>
      <c r="C230" s="118" t="s">
        <v>936</v>
      </c>
      <c r="D230" s="91" t="s">
        <v>59</v>
      </c>
      <c r="E230" s="924"/>
      <c r="F230" s="955"/>
      <c r="G230" s="956">
        <v>175364.66</v>
      </c>
      <c r="H230" s="480">
        <v>0</v>
      </c>
      <c r="I230" s="480">
        <v>0</v>
      </c>
      <c r="J230" s="480">
        <v>0</v>
      </c>
      <c r="K230" s="480">
        <v>0</v>
      </c>
      <c r="L230" s="480">
        <f t="shared" si="23"/>
        <v>175364.66</v>
      </c>
    </row>
    <row r="231" spans="1:12" ht="75">
      <c r="A231" s="873" t="s">
        <v>1020</v>
      </c>
      <c r="B231" s="857" t="s">
        <v>1417</v>
      </c>
      <c r="C231" s="118" t="s">
        <v>1024</v>
      </c>
      <c r="D231" s="91" t="s">
        <v>67</v>
      </c>
      <c r="E231" s="924"/>
      <c r="F231" s="924"/>
      <c r="G231" s="923">
        <f>29494.18+125298.91</f>
        <v>154793.09</v>
      </c>
      <c r="H231" s="265">
        <v>0</v>
      </c>
      <c r="I231" s="265">
        <v>0</v>
      </c>
      <c r="J231" s="265">
        <f>188219.82-120977.97</f>
        <v>67241.850000000006</v>
      </c>
      <c r="K231" s="265">
        <v>0</v>
      </c>
      <c r="L231" s="265">
        <f t="shared" si="23"/>
        <v>222034.94</v>
      </c>
    </row>
    <row r="232" spans="1:12" ht="75">
      <c r="A232" s="911" t="s">
        <v>1021</v>
      </c>
      <c r="B232" s="857" t="s">
        <v>1417</v>
      </c>
      <c r="C232" s="912" t="s">
        <v>1025</v>
      </c>
      <c r="D232" s="920" t="s">
        <v>1028</v>
      </c>
      <c r="E232" s="856"/>
      <c r="F232" s="856"/>
      <c r="G232" s="923">
        <v>0</v>
      </c>
      <c r="H232" s="265">
        <v>0</v>
      </c>
      <c r="I232" s="265">
        <v>0</v>
      </c>
      <c r="J232" s="265">
        <f>550513+27552.75</f>
        <v>578065.75</v>
      </c>
      <c r="K232" s="265">
        <v>0</v>
      </c>
      <c r="L232" s="265">
        <f t="shared" si="23"/>
        <v>578065.75</v>
      </c>
    </row>
    <row r="233" spans="1:12" ht="75">
      <c r="A233" s="873" t="s">
        <v>1022</v>
      </c>
      <c r="B233" s="857" t="s">
        <v>1417</v>
      </c>
      <c r="C233" s="118" t="s">
        <v>1026</v>
      </c>
      <c r="D233" s="91" t="s">
        <v>931</v>
      </c>
      <c r="E233" s="856"/>
      <c r="F233" s="856"/>
      <c r="G233" s="923">
        <v>0</v>
      </c>
      <c r="H233" s="265">
        <v>0</v>
      </c>
      <c r="I233" s="265">
        <v>0</v>
      </c>
      <c r="J233" s="265">
        <f>316684+47615.18</f>
        <v>364299.18</v>
      </c>
      <c r="K233" s="265">
        <v>0</v>
      </c>
      <c r="L233" s="265">
        <f t="shared" si="23"/>
        <v>364299.18</v>
      </c>
    </row>
    <row r="234" spans="1:12" ht="75">
      <c r="A234" s="911" t="s">
        <v>1023</v>
      </c>
      <c r="B234" s="857" t="s">
        <v>1417</v>
      </c>
      <c r="C234" s="912" t="s">
        <v>1027</v>
      </c>
      <c r="D234" s="920" t="s">
        <v>65</v>
      </c>
      <c r="E234" s="856"/>
      <c r="F234" s="856"/>
      <c r="G234" s="265">
        <v>0</v>
      </c>
      <c r="H234" s="265">
        <v>0</v>
      </c>
      <c r="I234" s="265">
        <v>0</v>
      </c>
      <c r="J234" s="265">
        <f>565029+45810.04</f>
        <v>610839.04000000004</v>
      </c>
      <c r="K234" s="265">
        <v>0</v>
      </c>
      <c r="L234" s="265">
        <f t="shared" si="23"/>
        <v>610839.04000000004</v>
      </c>
    </row>
    <row r="235" spans="1:12" ht="93.75">
      <c r="A235" s="911">
        <v>1.22</v>
      </c>
      <c r="B235" s="857" t="s">
        <v>1418</v>
      </c>
      <c r="C235" s="118" t="s">
        <v>1091</v>
      </c>
      <c r="D235" s="913" t="s">
        <v>1092</v>
      </c>
      <c r="E235" s="88"/>
      <c r="F235" s="88"/>
      <c r="G235" s="869">
        <v>0</v>
      </c>
      <c r="H235" s="869">
        <v>0</v>
      </c>
      <c r="I235" s="869">
        <v>101932.1</v>
      </c>
      <c r="J235" s="869">
        <v>101932.1</v>
      </c>
      <c r="K235" s="869">
        <v>143908.24</v>
      </c>
      <c r="L235" s="265">
        <f t="shared" si="23"/>
        <v>347772.44</v>
      </c>
    </row>
    <row r="236" spans="1:12" ht="56.25">
      <c r="A236" s="911">
        <v>1.23</v>
      </c>
      <c r="B236" s="857" t="s">
        <v>1342</v>
      </c>
      <c r="C236" s="912" t="s">
        <v>1343</v>
      </c>
      <c r="D236" s="912" t="s">
        <v>1344</v>
      </c>
      <c r="E236" s="906"/>
      <c r="F236" s="858" t="s">
        <v>1501</v>
      </c>
      <c r="G236" s="914">
        <v>0</v>
      </c>
      <c r="H236" s="914">
        <f>200000+11871.03</f>
        <v>211871.03</v>
      </c>
      <c r="I236" s="914">
        <v>0</v>
      </c>
      <c r="J236" s="914">
        <v>0</v>
      </c>
      <c r="K236" s="914">
        <v>0</v>
      </c>
      <c r="L236" s="265">
        <f t="shared" si="23"/>
        <v>211871.03</v>
      </c>
    </row>
    <row r="237" spans="1:12" ht="56.25">
      <c r="A237" s="911">
        <v>1.24</v>
      </c>
      <c r="B237" s="857" t="s">
        <v>1345</v>
      </c>
      <c r="C237" s="912" t="s">
        <v>1346</v>
      </c>
      <c r="D237" s="912" t="s">
        <v>1347</v>
      </c>
      <c r="E237" s="971">
        <v>0.02</v>
      </c>
      <c r="F237" s="858"/>
      <c r="G237" s="914">
        <v>0</v>
      </c>
      <c r="H237" s="914">
        <v>13587.34</v>
      </c>
      <c r="I237" s="914">
        <v>0</v>
      </c>
      <c r="J237" s="914">
        <v>0</v>
      </c>
      <c r="K237" s="914">
        <v>0</v>
      </c>
      <c r="L237" s="265">
        <f t="shared" si="23"/>
        <v>13587.34</v>
      </c>
    </row>
    <row r="238" spans="1:12" ht="56.25">
      <c r="A238" s="911">
        <v>1.25</v>
      </c>
      <c r="B238" s="857" t="s">
        <v>1348</v>
      </c>
      <c r="C238" s="912" t="s">
        <v>1349</v>
      </c>
      <c r="D238" s="912" t="s">
        <v>1347</v>
      </c>
      <c r="E238" s="971">
        <v>0.3</v>
      </c>
      <c r="F238" s="858"/>
      <c r="G238" s="914">
        <v>0</v>
      </c>
      <c r="H238" s="914">
        <v>11611.46</v>
      </c>
      <c r="I238" s="914">
        <v>0</v>
      </c>
      <c r="J238" s="914">
        <v>0</v>
      </c>
      <c r="K238" s="914">
        <v>0</v>
      </c>
      <c r="L238" s="265">
        <f t="shared" si="23"/>
        <v>11611.46</v>
      </c>
    </row>
    <row r="239" spans="1:12" ht="56.25">
      <c r="A239" s="911">
        <v>1.26</v>
      </c>
      <c r="B239" s="857" t="s">
        <v>1350</v>
      </c>
      <c r="C239" s="912" t="s">
        <v>1351</v>
      </c>
      <c r="D239" s="912" t="s">
        <v>1347</v>
      </c>
      <c r="E239" s="971">
        <v>8.4000000000000005E-2</v>
      </c>
      <c r="F239" s="858"/>
      <c r="G239" s="914">
        <v>0</v>
      </c>
      <c r="H239" s="914">
        <v>11291.58</v>
      </c>
      <c r="I239" s="914">
        <v>0</v>
      </c>
      <c r="J239" s="914">
        <v>0</v>
      </c>
      <c r="K239" s="914">
        <v>0</v>
      </c>
      <c r="L239" s="265">
        <f t="shared" si="23"/>
        <v>11291.58</v>
      </c>
    </row>
    <row r="240" spans="1:12" ht="56.25">
      <c r="A240" s="911">
        <v>1.27</v>
      </c>
      <c r="B240" s="857" t="s">
        <v>1214</v>
      </c>
      <c r="C240" s="912" t="s">
        <v>1352</v>
      </c>
      <c r="D240" s="912" t="s">
        <v>1353</v>
      </c>
      <c r="E240" s="971">
        <v>0.2903</v>
      </c>
      <c r="F240" s="858"/>
      <c r="G240" s="914">
        <v>0</v>
      </c>
      <c r="H240" s="914">
        <v>98851.06</v>
      </c>
      <c r="I240" s="914">
        <v>0</v>
      </c>
      <c r="J240" s="914">
        <v>0</v>
      </c>
      <c r="K240" s="914">
        <v>0</v>
      </c>
      <c r="L240" s="265">
        <f t="shared" si="23"/>
        <v>98851.06</v>
      </c>
    </row>
    <row r="241" spans="1:12" ht="18.75">
      <c r="A241" s="911"/>
      <c r="B241" s="857"/>
      <c r="C241" s="912"/>
      <c r="D241" s="912"/>
      <c r="E241" s="912"/>
      <c r="F241" s="858"/>
      <c r="G241" s="914"/>
      <c r="H241" s="914"/>
      <c r="I241" s="914">
        <v>0</v>
      </c>
      <c r="J241" s="914">
        <v>0</v>
      </c>
      <c r="K241" s="914">
        <v>0</v>
      </c>
      <c r="L241" s="265">
        <f t="shared" si="23"/>
        <v>0</v>
      </c>
    </row>
    <row r="242" spans="1:12" ht="19.5" thickBot="1">
      <c r="A242" s="872" t="s">
        <v>29</v>
      </c>
      <c r="B242" s="872"/>
      <c r="C242" s="925" t="s">
        <v>6</v>
      </c>
      <c r="D242" s="926"/>
      <c r="E242" s="926"/>
      <c r="F242" s="884"/>
      <c r="G242" s="926">
        <f t="shared" ref="G242:L242" si="25">SUM(G178:G241)</f>
        <v>45270150.140000001</v>
      </c>
      <c r="H242" s="926">
        <f t="shared" si="25"/>
        <v>457660.85000000009</v>
      </c>
      <c r="I242" s="926">
        <f t="shared" si="25"/>
        <v>642732.1</v>
      </c>
      <c r="J242" s="926">
        <f t="shared" si="25"/>
        <v>16918737.630000003</v>
      </c>
      <c r="K242" s="926">
        <f t="shared" si="25"/>
        <v>143908.24</v>
      </c>
      <c r="L242" s="926">
        <f t="shared" si="25"/>
        <v>63433188.960000001</v>
      </c>
    </row>
    <row r="243" spans="1:12" ht="15.75">
      <c r="A243" s="24"/>
      <c r="B243" s="227"/>
      <c r="C243" s="50"/>
      <c r="D243" s="50"/>
      <c r="E243" s="50"/>
      <c r="F243" s="592"/>
      <c r="L243" s="40"/>
    </row>
    <row r="244" spans="1:12" ht="15.75">
      <c r="A244" s="24"/>
      <c r="B244" s="227"/>
      <c r="C244" s="942"/>
      <c r="D244" s="943"/>
      <c r="E244" s="943"/>
      <c r="F244" s="592"/>
      <c r="G244" s="51"/>
      <c r="H244" s="51"/>
      <c r="I244" s="51"/>
      <c r="J244" s="51"/>
      <c r="K244" s="51"/>
      <c r="L244" s="40"/>
    </row>
    <row r="245" spans="1:12" ht="37.5">
      <c r="A245" s="100"/>
      <c r="B245" s="271"/>
      <c r="C245" s="102" t="s">
        <v>30</v>
      </c>
      <c r="D245" s="273"/>
      <c r="E245" s="273"/>
      <c r="F245" s="273"/>
      <c r="G245" s="107">
        <f>SUM(G246:G253)</f>
        <v>0</v>
      </c>
      <c r="H245" s="107">
        <f>SUM(H246:H256)</f>
        <v>10549434.059999999</v>
      </c>
      <c r="I245" s="107">
        <f>SUM(I246:I258)</f>
        <v>3941793.4799999995</v>
      </c>
      <c r="J245" s="107">
        <f t="shared" ref="J245:K245" si="26">SUM(J246:J256)</f>
        <v>0</v>
      </c>
      <c r="K245" s="107">
        <f t="shared" si="26"/>
        <v>0</v>
      </c>
      <c r="L245" s="107">
        <f>SUM(G245:K245)</f>
        <v>14491227.539999999</v>
      </c>
    </row>
    <row r="246" spans="1:12" ht="56.25">
      <c r="A246" s="70">
        <v>1</v>
      </c>
      <c r="B246" s="854"/>
      <c r="C246" s="243" t="s">
        <v>31</v>
      </c>
      <c r="D246" s="928"/>
      <c r="E246" s="853"/>
      <c r="F246" s="858" t="s">
        <v>1557</v>
      </c>
      <c r="G246" s="480">
        <v>0</v>
      </c>
      <c r="H246" s="72">
        <f>7612475.78-912475.78-1200000-216785-1550000-1183215-1550000-1000000+319448.26-319448.26</f>
        <v>0</v>
      </c>
      <c r="I246" s="72">
        <f>6287524.22-366785-637524.22-1477345.52-1750057.78-235049.12-22326.87-29320.96+643040-1501427.47-910203.47-523.81</f>
        <v>5.5933924159035087E-11</v>
      </c>
      <c r="J246" s="480">
        <v>0</v>
      </c>
      <c r="K246" s="480">
        <v>0</v>
      </c>
      <c r="L246" s="480">
        <f>SUM(G246:K246)</f>
        <v>5.5933924159035087E-11</v>
      </c>
    </row>
    <row r="247" spans="1:12" ht="75">
      <c r="A247" s="70">
        <v>1.1000000000000001</v>
      </c>
      <c r="B247" s="854" t="s">
        <v>439</v>
      </c>
      <c r="C247" s="243" t="s">
        <v>749</v>
      </c>
      <c r="D247" s="928"/>
      <c r="E247" s="987">
        <v>1</v>
      </c>
      <c r="F247" s="853"/>
      <c r="G247" s="480">
        <v>0</v>
      </c>
      <c r="H247" s="72">
        <f>100000-1500.41</f>
        <v>98499.59</v>
      </c>
      <c r="I247" s="480">
        <v>0</v>
      </c>
      <c r="J247" s="480">
        <v>0</v>
      </c>
      <c r="K247" s="480">
        <v>0</v>
      </c>
      <c r="L247" s="265">
        <f>SUM(G247:K247)</f>
        <v>98499.59</v>
      </c>
    </row>
    <row r="248" spans="1:12" ht="37.5">
      <c r="A248" s="70">
        <v>1.2</v>
      </c>
      <c r="B248" s="857" t="s">
        <v>1169</v>
      </c>
      <c r="C248" s="243" t="s">
        <v>1114</v>
      </c>
      <c r="D248" s="928"/>
      <c r="E248" s="987">
        <v>0.5</v>
      </c>
      <c r="F248" s="853"/>
      <c r="G248" s="480">
        <v>0</v>
      </c>
      <c r="H248" s="72">
        <v>1550000</v>
      </c>
      <c r="I248" s="480">
        <v>0</v>
      </c>
      <c r="J248" s="480">
        <v>0</v>
      </c>
      <c r="K248" s="480">
        <v>0</v>
      </c>
      <c r="L248" s="265">
        <f t="shared" ref="L248:L256" si="27">SUM(G248:K248)</f>
        <v>1550000</v>
      </c>
    </row>
    <row r="249" spans="1:12" ht="37.5">
      <c r="A249" s="70">
        <v>1.3</v>
      </c>
      <c r="B249" s="857" t="s">
        <v>1169</v>
      </c>
      <c r="C249" s="243" t="s">
        <v>750</v>
      </c>
      <c r="D249" s="928"/>
      <c r="E249" s="987">
        <v>0.5</v>
      </c>
      <c r="F249" s="853"/>
      <c r="G249" s="480">
        <v>0</v>
      </c>
      <c r="H249" s="72">
        <v>1183215</v>
      </c>
      <c r="I249" s="480">
        <v>366785</v>
      </c>
      <c r="J249" s="480">
        <v>0</v>
      </c>
      <c r="K249" s="480">
        <v>0</v>
      </c>
      <c r="L249" s="265">
        <f t="shared" si="27"/>
        <v>1550000</v>
      </c>
    </row>
    <row r="250" spans="1:12" ht="88.5" customHeight="1">
      <c r="A250" s="70">
        <v>1.4</v>
      </c>
      <c r="B250" s="857" t="s">
        <v>1036</v>
      </c>
      <c r="C250" s="243" t="s">
        <v>751</v>
      </c>
      <c r="D250" s="928"/>
      <c r="E250" s="987">
        <v>1</v>
      </c>
      <c r="F250" s="858" t="s">
        <v>1502</v>
      </c>
      <c r="G250" s="480">
        <v>0</v>
      </c>
      <c r="H250" s="72">
        <f>1550000-52402.88</f>
        <v>1497597.12</v>
      </c>
      <c r="I250" s="480">
        <v>0</v>
      </c>
      <c r="J250" s="480">
        <v>0</v>
      </c>
      <c r="K250" s="480">
        <v>0</v>
      </c>
      <c r="L250" s="265">
        <f t="shared" si="27"/>
        <v>1497597.12</v>
      </c>
    </row>
    <row r="251" spans="1:12" ht="112.5">
      <c r="A251" s="70">
        <v>1.5</v>
      </c>
      <c r="B251" s="882" t="s">
        <v>1109</v>
      </c>
      <c r="C251" s="118" t="s">
        <v>1034</v>
      </c>
      <c r="D251" s="929"/>
      <c r="E251" s="987">
        <v>1</v>
      </c>
      <c r="F251" s="853"/>
      <c r="G251" s="480">
        <v>0</v>
      </c>
      <c r="H251" s="72">
        <v>1000000</v>
      </c>
      <c r="I251" s="480">
        <v>235049.12</v>
      </c>
      <c r="J251" s="480">
        <v>0</v>
      </c>
      <c r="K251" s="480">
        <v>0</v>
      </c>
      <c r="L251" s="265">
        <f t="shared" si="27"/>
        <v>1235049.1200000001</v>
      </c>
    </row>
    <row r="252" spans="1:12" ht="56.25">
      <c r="A252" s="930">
        <v>1.6</v>
      </c>
      <c r="B252" s="857" t="s">
        <v>968</v>
      </c>
      <c r="C252" s="77" t="s">
        <v>1093</v>
      </c>
      <c r="D252" s="931"/>
      <c r="E252" s="987">
        <v>1</v>
      </c>
      <c r="F252" s="856"/>
      <c r="G252" s="265">
        <v>0</v>
      </c>
      <c r="H252" s="931">
        <v>912475.78</v>
      </c>
      <c r="I252" s="268">
        <f>637524.22+29320.96</f>
        <v>666845.17999999993</v>
      </c>
      <c r="J252" s="265">
        <v>0</v>
      </c>
      <c r="K252" s="265">
        <v>0</v>
      </c>
      <c r="L252" s="265">
        <f t="shared" si="27"/>
        <v>1579320.96</v>
      </c>
    </row>
    <row r="253" spans="1:12" ht="105.75" customHeight="1">
      <c r="A253" s="70">
        <v>1.7</v>
      </c>
      <c r="B253" s="857" t="s">
        <v>839</v>
      </c>
      <c r="C253" s="932" t="s">
        <v>752</v>
      </c>
      <c r="D253" s="928"/>
      <c r="E253" s="987">
        <v>1</v>
      </c>
      <c r="F253" s="858" t="s">
        <v>1503</v>
      </c>
      <c r="G253" s="265">
        <v>0</v>
      </c>
      <c r="H253" s="72">
        <f>1200000+319448.26-3893.89</f>
        <v>1515554.37</v>
      </c>
      <c r="I253" s="265">
        <f>0+22326.87</f>
        <v>22326.87</v>
      </c>
      <c r="J253" s="265">
        <v>0</v>
      </c>
      <c r="K253" s="265">
        <v>0</v>
      </c>
      <c r="L253" s="265">
        <f t="shared" si="27"/>
        <v>1537881.2400000002</v>
      </c>
    </row>
    <row r="254" spans="1:12" ht="114.75" customHeight="1">
      <c r="A254" s="70">
        <v>1.8</v>
      </c>
      <c r="B254" s="857">
        <v>42937</v>
      </c>
      <c r="C254" s="932" t="s">
        <v>853</v>
      </c>
      <c r="D254" s="928"/>
      <c r="E254" s="528"/>
      <c r="F254" s="856"/>
      <c r="G254" s="265">
        <v>0</v>
      </c>
      <c r="H254" s="72">
        <v>216785</v>
      </c>
      <c r="I254" s="265">
        <v>0</v>
      </c>
      <c r="J254" s="265">
        <v>0</v>
      </c>
      <c r="K254" s="265">
        <v>0</v>
      </c>
      <c r="L254" s="265">
        <f t="shared" si="27"/>
        <v>216785</v>
      </c>
    </row>
    <row r="255" spans="1:12" ht="146.25" customHeight="1">
      <c r="A255" s="70">
        <v>1.9</v>
      </c>
      <c r="B255" s="89" t="s">
        <v>1116</v>
      </c>
      <c r="C255" s="933" t="s">
        <v>1044</v>
      </c>
      <c r="D255" s="928"/>
      <c r="E255" s="971">
        <v>1</v>
      </c>
      <c r="F255" s="858" t="s">
        <v>1504</v>
      </c>
      <c r="G255" s="265">
        <v>0</v>
      </c>
      <c r="H255" s="265">
        <f>1477345.52-239156.37-53336.82</f>
        <v>1184852.3299999998</v>
      </c>
      <c r="I255" s="265">
        <v>239156.37</v>
      </c>
      <c r="J255" s="265">
        <v>0</v>
      </c>
      <c r="K255" s="265">
        <v>0</v>
      </c>
      <c r="L255" s="265">
        <f t="shared" ref="L255" si="28">SUM(G255:K255)</f>
        <v>1424008.6999999997</v>
      </c>
    </row>
    <row r="256" spans="1:12" ht="75" customHeight="1">
      <c r="A256" s="934" t="s">
        <v>729</v>
      </c>
      <c r="B256" s="857" t="s">
        <v>1142</v>
      </c>
      <c r="C256" s="933" t="s">
        <v>1047</v>
      </c>
      <c r="D256" s="72"/>
      <c r="E256" s="971">
        <v>1</v>
      </c>
      <c r="F256" s="858" t="s">
        <v>1505</v>
      </c>
      <c r="G256" s="480">
        <v>0</v>
      </c>
      <c r="H256" s="480">
        <f>1430609.52-40154.65</f>
        <v>1390454.87</v>
      </c>
      <c r="I256" s="480">
        <f>1750057.78-1750057.78</f>
        <v>0</v>
      </c>
      <c r="J256" s="480">
        <v>0</v>
      </c>
      <c r="K256" s="480">
        <v>0</v>
      </c>
      <c r="L256" s="480">
        <f t="shared" si="27"/>
        <v>1390454.87</v>
      </c>
    </row>
    <row r="257" spans="1:12" ht="37.5">
      <c r="A257" s="934">
        <v>1.1100000000000001</v>
      </c>
      <c r="B257" s="857" t="s">
        <v>1381</v>
      </c>
      <c r="C257" s="933" t="s">
        <v>1176</v>
      </c>
      <c r="D257" s="928"/>
      <c r="E257" s="971">
        <v>1</v>
      </c>
      <c r="F257" s="856"/>
      <c r="G257" s="265">
        <v>0</v>
      </c>
      <c r="H257" s="265">
        <v>0</v>
      </c>
      <c r="I257" s="265">
        <v>910203.47</v>
      </c>
      <c r="J257" s="265">
        <v>0</v>
      </c>
      <c r="K257" s="265">
        <v>0</v>
      </c>
      <c r="L257" s="265">
        <f t="shared" ref="L257:L258" si="29">SUM(G257:K257)</f>
        <v>910203.47</v>
      </c>
    </row>
    <row r="258" spans="1:12" ht="56.25">
      <c r="A258" s="934">
        <v>1.1200000000000001</v>
      </c>
      <c r="B258" s="857" t="s">
        <v>1365</v>
      </c>
      <c r="C258" s="77" t="s">
        <v>1177</v>
      </c>
      <c r="D258" s="928"/>
      <c r="E258" s="971">
        <v>0</v>
      </c>
      <c r="F258" s="856"/>
      <c r="G258" s="265">
        <v>0</v>
      </c>
      <c r="H258" s="265">
        <v>0</v>
      </c>
      <c r="I258" s="265">
        <v>1501427.47</v>
      </c>
      <c r="J258" s="265">
        <v>0</v>
      </c>
      <c r="K258" s="265">
        <v>0</v>
      </c>
      <c r="L258" s="265">
        <f t="shared" si="29"/>
        <v>1501427.47</v>
      </c>
    </row>
    <row r="259" spans="1:12" ht="18.75">
      <c r="A259" s="84"/>
      <c r="B259" s="854"/>
      <c r="C259" s="118" t="s">
        <v>6</v>
      </c>
      <c r="D259" s="929"/>
      <c r="E259" s="929"/>
      <c r="F259" s="853"/>
      <c r="G259" s="78">
        <f>SUM(G246:G256)</f>
        <v>0</v>
      </c>
      <c r="H259" s="78">
        <f>SUM(H246:H258)</f>
        <v>10549434.059999999</v>
      </c>
      <c r="I259" s="78">
        <f>SUM(I246:I258)</f>
        <v>3941793.4799999995</v>
      </c>
      <c r="J259" s="78">
        <f t="shared" ref="J259:L259" si="30">SUM(J246:J258)</f>
        <v>0</v>
      </c>
      <c r="K259" s="78">
        <f t="shared" si="30"/>
        <v>0</v>
      </c>
      <c r="L259" s="78">
        <f t="shared" si="30"/>
        <v>14491227.540000003</v>
      </c>
    </row>
    <row r="260" spans="1:12" ht="15.75">
      <c r="A260" s="24"/>
      <c r="B260" s="227"/>
      <c r="D260" s="54"/>
      <c r="E260" s="54"/>
      <c r="F260" s="592"/>
      <c r="L260" s="55"/>
    </row>
    <row r="261" spans="1:12" ht="15.75">
      <c r="A261" s="56"/>
      <c r="B261" s="227"/>
      <c r="C261" s="29"/>
      <c r="D261" s="57"/>
      <c r="E261" s="57"/>
      <c r="F261" s="592"/>
      <c r="G261" s="51"/>
      <c r="H261" s="51"/>
      <c r="I261" s="51"/>
      <c r="J261" s="51"/>
      <c r="K261" s="51"/>
      <c r="L261" s="58"/>
    </row>
    <row r="262" spans="1:12" ht="18.75">
      <c r="A262" s="100"/>
      <c r="B262" s="271"/>
      <c r="C262" s="102" t="s">
        <v>32</v>
      </c>
      <c r="D262" s="103"/>
      <c r="E262" s="103"/>
      <c r="F262" s="103"/>
      <c r="G262" s="107">
        <f>SUM(G263:G267)</f>
        <v>0</v>
      </c>
      <c r="H262" s="107">
        <f>SUM(H263:H292)</f>
        <v>11753.07</v>
      </c>
      <c r="I262" s="107">
        <f>SUM(I263:I292)</f>
        <v>4988246.9300000006</v>
      </c>
      <c r="J262" s="107">
        <f t="shared" ref="J262:K262" si="31">SUM(J263:J267)</f>
        <v>0</v>
      </c>
      <c r="K262" s="107">
        <f t="shared" si="31"/>
        <v>0</v>
      </c>
      <c r="L262" s="107">
        <f>SUM(G262:K262)</f>
        <v>5000000.0000000009</v>
      </c>
    </row>
    <row r="263" spans="1:12" ht="56.25">
      <c r="A263" s="84">
        <v>1</v>
      </c>
      <c r="B263" s="854"/>
      <c r="C263" s="243" t="s">
        <v>33</v>
      </c>
      <c r="D263" s="78"/>
      <c r="E263" s="856"/>
      <c r="F263" s="954" t="s">
        <v>1559</v>
      </c>
      <c r="G263" s="265">
        <v>0</v>
      </c>
      <c r="H263" s="935">
        <f>3000000-439812.96-11753.07-86300.1-78877.57-452400-48268.06-91667.93-30120.91-569770.23-399994.48-314263.88-8007.97-468762.84</f>
        <v>0</v>
      </c>
      <c r="I263" s="961">
        <f>1930400+468762.84+97.56+106336.49-33067.47-15197.8-79542.62-129176.9-219694.58-219694.58-I283-I284-I285-I286-I287-I288-I292-I289-I290-I291</f>
        <v>545121.69999999995</v>
      </c>
      <c r="J263" s="480">
        <v>0</v>
      </c>
      <c r="K263" s="480">
        <v>0</v>
      </c>
      <c r="L263" s="936">
        <f>SUM(G263:K263)</f>
        <v>545121.69999999995</v>
      </c>
    </row>
    <row r="264" spans="1:12" ht="18.75">
      <c r="A264" s="70">
        <v>1.1000000000000001</v>
      </c>
      <c r="B264" s="857" t="s">
        <v>874</v>
      </c>
      <c r="C264" s="243" t="s">
        <v>753</v>
      </c>
      <c r="D264" s="72"/>
      <c r="E264" s="966">
        <v>1</v>
      </c>
      <c r="F264" s="856"/>
      <c r="G264" s="265">
        <v>0</v>
      </c>
      <c r="H264" s="935">
        <v>0</v>
      </c>
      <c r="I264" s="72">
        <v>69600</v>
      </c>
      <c r="J264" s="480">
        <v>0</v>
      </c>
      <c r="K264" s="480">
        <v>0</v>
      </c>
      <c r="L264" s="936">
        <f t="shared" ref="L264:L273" si="32">SUM(G264:K264)</f>
        <v>69600</v>
      </c>
    </row>
    <row r="265" spans="1:12" ht="37.5">
      <c r="A265" s="70">
        <v>1.2</v>
      </c>
      <c r="B265" s="857" t="s">
        <v>875</v>
      </c>
      <c r="C265" s="243" t="s">
        <v>836</v>
      </c>
      <c r="D265" s="72"/>
      <c r="E265" s="966">
        <v>0.43</v>
      </c>
      <c r="F265" s="856"/>
      <c r="G265" s="265">
        <v>0</v>
      </c>
      <c r="H265" s="935">
        <v>0</v>
      </c>
      <c r="I265" s="935">
        <v>439812.96</v>
      </c>
      <c r="J265" s="480">
        <v>0</v>
      </c>
      <c r="K265" s="480">
        <v>0</v>
      </c>
      <c r="L265" s="936">
        <f t="shared" si="32"/>
        <v>439812.96</v>
      </c>
    </row>
    <row r="266" spans="1:12" ht="75">
      <c r="A266" s="70">
        <v>1.3</v>
      </c>
      <c r="B266" s="857" t="s">
        <v>895</v>
      </c>
      <c r="C266" s="243" t="s">
        <v>861</v>
      </c>
      <c r="D266" s="72"/>
      <c r="E266" s="966">
        <v>1</v>
      </c>
      <c r="F266" s="856"/>
      <c r="G266" s="265">
        <v>0</v>
      </c>
      <c r="H266" s="935">
        <v>11753.07</v>
      </c>
      <c r="I266" s="72">
        <v>0</v>
      </c>
      <c r="J266" s="480">
        <v>0</v>
      </c>
      <c r="K266" s="480">
        <v>0</v>
      </c>
      <c r="L266" s="936">
        <f t="shared" si="32"/>
        <v>11753.07</v>
      </c>
    </row>
    <row r="267" spans="1:12" ht="56.25">
      <c r="A267" s="70">
        <v>1.4</v>
      </c>
      <c r="B267" s="857" t="s">
        <v>1120</v>
      </c>
      <c r="C267" s="243" t="s">
        <v>873</v>
      </c>
      <c r="D267" s="72"/>
      <c r="E267" s="966">
        <v>1</v>
      </c>
      <c r="F267" s="856"/>
      <c r="G267" s="265">
        <v>0</v>
      </c>
      <c r="H267" s="935">
        <v>0</v>
      </c>
      <c r="I267" s="72">
        <v>86300.1</v>
      </c>
      <c r="J267" s="480">
        <v>0</v>
      </c>
      <c r="K267" s="480">
        <v>0</v>
      </c>
      <c r="L267" s="936">
        <f t="shared" si="32"/>
        <v>86300.1</v>
      </c>
    </row>
    <row r="268" spans="1:12" ht="37.5">
      <c r="A268" s="70">
        <v>1.5</v>
      </c>
      <c r="B268" s="857" t="s">
        <v>1143</v>
      </c>
      <c r="C268" s="243" t="s">
        <v>952</v>
      </c>
      <c r="D268" s="72"/>
      <c r="E268" s="966">
        <v>0.82110000000000005</v>
      </c>
      <c r="F268" s="856"/>
      <c r="G268" s="265">
        <v>0</v>
      </c>
      <c r="H268" s="935">
        <v>0</v>
      </c>
      <c r="I268" s="72">
        <v>78877.570000000007</v>
      </c>
      <c r="J268" s="480">
        <v>0</v>
      </c>
      <c r="K268" s="480">
        <v>0</v>
      </c>
      <c r="L268" s="936">
        <f t="shared" si="32"/>
        <v>78877.570000000007</v>
      </c>
    </row>
    <row r="269" spans="1:12" ht="93.75">
      <c r="A269" s="70">
        <v>1.6</v>
      </c>
      <c r="B269" s="857" t="s">
        <v>1056</v>
      </c>
      <c r="C269" s="243" t="s">
        <v>1032</v>
      </c>
      <c r="D269" s="935"/>
      <c r="E269" s="966">
        <v>0.78059999999999996</v>
      </c>
      <c r="F269" s="856"/>
      <c r="G269" s="265">
        <v>0</v>
      </c>
      <c r="H269" s="935">
        <v>0</v>
      </c>
      <c r="I269" s="72">
        <v>452400</v>
      </c>
      <c r="J269" s="480">
        <v>0</v>
      </c>
      <c r="K269" s="480">
        <v>0</v>
      </c>
      <c r="L269" s="936">
        <f t="shared" si="32"/>
        <v>452400</v>
      </c>
    </row>
    <row r="270" spans="1:12" ht="37.5">
      <c r="A270" s="70">
        <v>1.7</v>
      </c>
      <c r="B270" s="857" t="s">
        <v>1055</v>
      </c>
      <c r="C270" s="243" t="s">
        <v>971</v>
      </c>
      <c r="D270" s="935"/>
      <c r="E270" s="966">
        <v>0.6</v>
      </c>
      <c r="F270" s="856"/>
      <c r="G270" s="265">
        <v>0</v>
      </c>
      <c r="H270" s="935">
        <v>0</v>
      </c>
      <c r="I270" s="72">
        <v>48268.06</v>
      </c>
      <c r="J270" s="480">
        <v>0</v>
      </c>
      <c r="K270" s="480">
        <v>0</v>
      </c>
      <c r="L270" s="936">
        <f t="shared" si="32"/>
        <v>48268.06</v>
      </c>
    </row>
    <row r="271" spans="1:12" ht="37.5">
      <c r="A271" s="70">
        <v>1.8</v>
      </c>
      <c r="B271" s="857" t="s">
        <v>1055</v>
      </c>
      <c r="C271" s="243" t="s">
        <v>1033</v>
      </c>
      <c r="D271" s="935"/>
      <c r="E271" s="966">
        <v>0.45</v>
      </c>
      <c r="F271" s="856"/>
      <c r="G271" s="265">
        <v>0</v>
      </c>
      <c r="H271" s="935">
        <v>0</v>
      </c>
      <c r="I271" s="72">
        <v>91667.93</v>
      </c>
      <c r="J271" s="480">
        <v>0</v>
      </c>
      <c r="K271" s="480">
        <v>0</v>
      </c>
      <c r="L271" s="936">
        <f t="shared" si="32"/>
        <v>91667.93</v>
      </c>
    </row>
    <row r="272" spans="1:12" ht="56.25">
      <c r="A272" s="70">
        <v>1.9</v>
      </c>
      <c r="B272" s="857" t="s">
        <v>1054</v>
      </c>
      <c r="C272" s="243" t="s">
        <v>1030</v>
      </c>
      <c r="D272" s="935"/>
      <c r="E272" s="966">
        <v>1</v>
      </c>
      <c r="F272" s="856"/>
      <c r="G272" s="265">
        <v>0</v>
      </c>
      <c r="H272" s="935">
        <v>0</v>
      </c>
      <c r="I272" s="72">
        <v>30120.91</v>
      </c>
      <c r="J272" s="480">
        <v>0</v>
      </c>
      <c r="K272" s="480">
        <v>0</v>
      </c>
      <c r="L272" s="936">
        <f t="shared" si="32"/>
        <v>30120.91</v>
      </c>
    </row>
    <row r="273" spans="1:12" ht="56.25">
      <c r="A273" s="934" t="s">
        <v>729</v>
      </c>
      <c r="B273" s="857" t="s">
        <v>1119</v>
      </c>
      <c r="C273" s="243" t="s">
        <v>1094</v>
      </c>
      <c r="D273" s="937"/>
      <c r="E273" s="966">
        <v>0.3</v>
      </c>
      <c r="F273" s="856"/>
      <c r="G273" s="265">
        <v>0</v>
      </c>
      <c r="H273" s="935">
        <v>0</v>
      </c>
      <c r="I273" s="72">
        <v>568182.85</v>
      </c>
      <c r="J273" s="480">
        <v>0</v>
      </c>
      <c r="K273" s="480">
        <v>0</v>
      </c>
      <c r="L273" s="936">
        <f t="shared" si="32"/>
        <v>568182.85</v>
      </c>
    </row>
    <row r="274" spans="1:12" ht="18.75">
      <c r="A274" s="934" t="s">
        <v>1098</v>
      </c>
      <c r="B274" s="857" t="s">
        <v>1144</v>
      </c>
      <c r="C274" s="243" t="s">
        <v>1040</v>
      </c>
      <c r="D274" s="937"/>
      <c r="E274" s="966">
        <v>0.31850000000000001</v>
      </c>
      <c r="F274" s="856"/>
      <c r="G274" s="265">
        <v>0</v>
      </c>
      <c r="H274" s="935">
        <f>399994.48-399994.48</f>
        <v>0</v>
      </c>
      <c r="I274" s="72">
        <v>400000</v>
      </c>
      <c r="J274" s="480">
        <v>0</v>
      </c>
      <c r="K274" s="480">
        <v>0</v>
      </c>
      <c r="L274" s="936">
        <f t="shared" ref="L274" si="33">SUM(G274:K274)</f>
        <v>400000</v>
      </c>
    </row>
    <row r="275" spans="1:12" ht="37.5">
      <c r="A275" s="934" t="s">
        <v>1099</v>
      </c>
      <c r="B275" s="857" t="s">
        <v>1409</v>
      </c>
      <c r="C275" s="243" t="s">
        <v>1041</v>
      </c>
      <c r="D275" s="937"/>
      <c r="E275" s="966">
        <v>0.79290000000000005</v>
      </c>
      <c r="F275" s="856"/>
      <c r="G275" s="265">
        <v>0</v>
      </c>
      <c r="H275" s="935">
        <f>80997.01+175557.11+57709.76-314263.88</f>
        <v>0</v>
      </c>
      <c r="I275" s="72">
        <v>209509.25</v>
      </c>
      <c r="J275" s="480">
        <v>0</v>
      </c>
      <c r="K275" s="480">
        <v>0</v>
      </c>
      <c r="L275" s="936">
        <f t="shared" ref="L275" si="34">SUM(G275:K275)</f>
        <v>209509.25</v>
      </c>
    </row>
    <row r="276" spans="1:12" ht="56.25">
      <c r="A276" s="934" t="s">
        <v>1100</v>
      </c>
      <c r="B276" s="857" t="s">
        <v>1118</v>
      </c>
      <c r="C276" s="243" t="s">
        <v>1050</v>
      </c>
      <c r="D276" s="937"/>
      <c r="E276" s="966">
        <v>1</v>
      </c>
      <c r="F276" s="853"/>
      <c r="G276" s="480">
        <v>0</v>
      </c>
      <c r="H276" s="928">
        <f>8007.97-8007.97</f>
        <v>0</v>
      </c>
      <c r="I276" s="928">
        <v>7910.41</v>
      </c>
      <c r="J276" s="480">
        <v>0</v>
      </c>
      <c r="K276" s="480">
        <v>0</v>
      </c>
      <c r="L276" s="936">
        <f t="shared" ref="L276:L292" si="35">SUM(G276:K276)</f>
        <v>7910.41</v>
      </c>
    </row>
    <row r="277" spans="1:12" ht="93.75">
      <c r="A277" s="70">
        <v>1.1399999999999999</v>
      </c>
      <c r="B277" s="857" t="s">
        <v>1145</v>
      </c>
      <c r="C277" s="243" t="s">
        <v>1097</v>
      </c>
      <c r="D277" s="937" t="s">
        <v>29</v>
      </c>
      <c r="E277" s="966">
        <v>0.58499999999999996</v>
      </c>
      <c r="F277" s="856"/>
      <c r="G277" s="265">
        <v>0</v>
      </c>
      <c r="H277" s="935">
        <f t="shared" ref="H277:H279" si="36">8007.97-8007.97</f>
        <v>0</v>
      </c>
      <c r="I277" s="935">
        <v>129176.9</v>
      </c>
      <c r="J277" s="480">
        <v>0</v>
      </c>
      <c r="K277" s="480">
        <v>0</v>
      </c>
      <c r="L277" s="936">
        <f t="shared" si="35"/>
        <v>129176.9</v>
      </c>
    </row>
    <row r="278" spans="1:12" ht="56.25">
      <c r="A278" s="70">
        <v>1.1499999999999999</v>
      </c>
      <c r="B278" s="857" t="s">
        <v>1149</v>
      </c>
      <c r="C278" s="243" t="s">
        <v>1104</v>
      </c>
      <c r="D278" s="937"/>
      <c r="E278" s="966">
        <v>0.61399999999999999</v>
      </c>
      <c r="F278" s="856"/>
      <c r="G278" s="265">
        <v>0</v>
      </c>
      <c r="H278" s="935">
        <f t="shared" si="36"/>
        <v>0</v>
      </c>
      <c r="I278" s="935">
        <v>33067.47</v>
      </c>
      <c r="J278" s="480">
        <v>0</v>
      </c>
      <c r="K278" s="480">
        <v>0</v>
      </c>
      <c r="L278" s="936">
        <f t="shared" si="35"/>
        <v>33067.47</v>
      </c>
    </row>
    <row r="279" spans="1:12" ht="112.5">
      <c r="A279" s="70">
        <v>1.1599999999999999</v>
      </c>
      <c r="B279" s="857" t="s">
        <v>1150</v>
      </c>
      <c r="C279" s="243" t="s">
        <v>1105</v>
      </c>
      <c r="D279" s="937"/>
      <c r="E279" s="966">
        <v>1</v>
      </c>
      <c r="F279" s="856"/>
      <c r="G279" s="265">
        <v>0</v>
      </c>
      <c r="H279" s="935">
        <f t="shared" si="36"/>
        <v>0</v>
      </c>
      <c r="I279" s="935">
        <v>15197.8</v>
      </c>
      <c r="J279" s="480">
        <v>0</v>
      </c>
      <c r="K279" s="480">
        <v>0</v>
      </c>
      <c r="L279" s="936">
        <f t="shared" si="35"/>
        <v>15197.8</v>
      </c>
    </row>
    <row r="280" spans="1:12" ht="37.5">
      <c r="A280" s="70">
        <v>1.17</v>
      </c>
      <c r="B280" s="857" t="s">
        <v>1149</v>
      </c>
      <c r="C280" s="243" t="s">
        <v>1106</v>
      </c>
      <c r="D280" s="937"/>
      <c r="E280" s="966">
        <v>0.92500000000000004</v>
      </c>
      <c r="F280" s="853"/>
      <c r="G280" s="265">
        <v>0</v>
      </c>
      <c r="H280" s="935">
        <v>0</v>
      </c>
      <c r="I280" s="935">
        <v>79542.62</v>
      </c>
      <c r="J280" s="480">
        <v>0</v>
      </c>
      <c r="K280" s="480">
        <v>0</v>
      </c>
      <c r="L280" s="936">
        <f t="shared" si="35"/>
        <v>79542.62</v>
      </c>
    </row>
    <row r="281" spans="1:12" ht="37.5">
      <c r="A281" s="70">
        <v>1.18</v>
      </c>
      <c r="B281" s="857" t="s">
        <v>1361</v>
      </c>
      <c r="C281" s="243" t="s">
        <v>1122</v>
      </c>
      <c r="D281" s="937"/>
      <c r="E281" s="988">
        <v>0.68</v>
      </c>
      <c r="F281" s="941"/>
      <c r="G281" s="265">
        <v>0</v>
      </c>
      <c r="H281" s="935">
        <v>0</v>
      </c>
      <c r="I281" s="935">
        <v>219694.58</v>
      </c>
      <c r="J281" s="480">
        <v>0</v>
      </c>
      <c r="K281" s="480">
        <v>0</v>
      </c>
      <c r="L281" s="936">
        <f t="shared" si="35"/>
        <v>219694.58</v>
      </c>
    </row>
    <row r="282" spans="1:12" ht="37.5">
      <c r="A282" s="76">
        <v>1.19</v>
      </c>
      <c r="B282" s="940" t="s">
        <v>1361</v>
      </c>
      <c r="C282" s="932" t="s">
        <v>1123</v>
      </c>
      <c r="D282" s="938"/>
      <c r="E282" s="966">
        <v>0.42930000000000001</v>
      </c>
      <c r="F282" s="856"/>
      <c r="G282" s="265">
        <v>0</v>
      </c>
      <c r="H282" s="931">
        <v>0</v>
      </c>
      <c r="I282" s="931">
        <v>219694.58</v>
      </c>
      <c r="J282" s="265">
        <v>0</v>
      </c>
      <c r="K282" s="265">
        <v>0</v>
      </c>
      <c r="L282" s="939">
        <f t="shared" si="35"/>
        <v>219694.58</v>
      </c>
    </row>
    <row r="283" spans="1:12" ht="56.25">
      <c r="A283" s="934" t="s">
        <v>789</v>
      </c>
      <c r="B283" s="857" t="s">
        <v>1225</v>
      </c>
      <c r="C283" s="243" t="s">
        <v>1161</v>
      </c>
      <c r="D283" s="937"/>
      <c r="E283" s="967">
        <v>0.39329999999999998</v>
      </c>
      <c r="F283" s="853"/>
      <c r="G283" s="480">
        <v>0</v>
      </c>
      <c r="H283" s="72">
        <v>0</v>
      </c>
      <c r="I283" s="72">
        <v>43014.92</v>
      </c>
      <c r="J283" s="480">
        <v>0</v>
      </c>
      <c r="K283" s="480">
        <v>0</v>
      </c>
      <c r="L283" s="936">
        <f t="shared" si="35"/>
        <v>43014.92</v>
      </c>
    </row>
    <row r="284" spans="1:12" ht="56.25">
      <c r="A284" s="70">
        <v>1.21</v>
      </c>
      <c r="B284" s="857" t="s">
        <v>1224</v>
      </c>
      <c r="C284" s="243" t="s">
        <v>1162</v>
      </c>
      <c r="D284" s="937"/>
      <c r="E284" s="967">
        <v>0.95099999999999996</v>
      </c>
      <c r="F284" s="853"/>
      <c r="G284" s="480">
        <v>0</v>
      </c>
      <c r="H284" s="72">
        <v>0</v>
      </c>
      <c r="I284" s="72">
        <v>38021.949999999997</v>
      </c>
      <c r="J284" s="480">
        <v>0</v>
      </c>
      <c r="K284" s="480">
        <v>0</v>
      </c>
      <c r="L284" s="936">
        <f t="shared" si="35"/>
        <v>38021.949999999997</v>
      </c>
    </row>
    <row r="285" spans="1:12" ht="56.25">
      <c r="A285" s="70">
        <v>1.22</v>
      </c>
      <c r="B285" s="857" t="s">
        <v>1224</v>
      </c>
      <c r="C285" s="243" t="s">
        <v>1163</v>
      </c>
      <c r="D285" s="937"/>
      <c r="E285" s="967">
        <v>0.24149999999999999</v>
      </c>
      <c r="F285" s="853"/>
      <c r="G285" s="480">
        <v>0</v>
      </c>
      <c r="H285" s="72">
        <v>0</v>
      </c>
      <c r="I285" s="72">
        <v>99989.55</v>
      </c>
      <c r="J285" s="480">
        <v>0</v>
      </c>
      <c r="K285" s="480">
        <v>0</v>
      </c>
      <c r="L285" s="936">
        <f t="shared" si="35"/>
        <v>99989.55</v>
      </c>
    </row>
    <row r="286" spans="1:12" ht="56.25">
      <c r="A286" s="70">
        <v>1.23</v>
      </c>
      <c r="B286" s="857" t="s">
        <v>1364</v>
      </c>
      <c r="C286" s="243" t="s">
        <v>1166</v>
      </c>
      <c r="D286" s="937"/>
      <c r="E286" s="967">
        <v>0.1512</v>
      </c>
      <c r="F286" s="853"/>
      <c r="G286" s="480">
        <v>0</v>
      </c>
      <c r="H286" s="72">
        <v>0</v>
      </c>
      <c r="I286" s="72">
        <v>233887.29</v>
      </c>
      <c r="J286" s="480">
        <v>0</v>
      </c>
      <c r="K286" s="480">
        <v>0</v>
      </c>
      <c r="L286" s="936">
        <f t="shared" si="35"/>
        <v>233887.29</v>
      </c>
    </row>
    <row r="287" spans="1:12" ht="37.5">
      <c r="A287" s="70">
        <v>1.24</v>
      </c>
      <c r="B287" s="857" t="s">
        <v>1363</v>
      </c>
      <c r="C287" s="243" t="s">
        <v>1226</v>
      </c>
      <c r="D287" s="937"/>
      <c r="E287" s="967">
        <v>0.69540000000000002</v>
      </c>
      <c r="F287" s="853"/>
      <c r="G287" s="480">
        <v>0</v>
      </c>
      <c r="H287" s="72">
        <v>0</v>
      </c>
      <c r="I287" s="72">
        <v>87694.28</v>
      </c>
      <c r="J287" s="480">
        <v>0</v>
      </c>
      <c r="K287" s="480">
        <v>0</v>
      </c>
      <c r="L287" s="936">
        <f t="shared" si="35"/>
        <v>87694.28</v>
      </c>
    </row>
    <row r="288" spans="1:12" ht="56.25">
      <c r="A288" s="70">
        <v>1.25</v>
      </c>
      <c r="B288" s="857" t="s">
        <v>1362</v>
      </c>
      <c r="C288" s="243" t="s">
        <v>1227</v>
      </c>
      <c r="D288" s="937"/>
      <c r="E288" s="967">
        <v>0.48659999999999998</v>
      </c>
      <c r="F288" s="853"/>
      <c r="G288" s="480">
        <v>0</v>
      </c>
      <c r="H288" s="72">
        <v>0</v>
      </c>
      <c r="I288" s="72">
        <v>87346.62</v>
      </c>
      <c r="J288" s="480">
        <v>0</v>
      </c>
      <c r="K288" s="480">
        <v>0</v>
      </c>
      <c r="L288" s="936">
        <f t="shared" si="35"/>
        <v>87346.62</v>
      </c>
    </row>
    <row r="289" spans="1:12" ht="75">
      <c r="A289" s="70">
        <v>1.26</v>
      </c>
      <c r="B289" s="857" t="s">
        <v>1385</v>
      </c>
      <c r="C289" s="243" t="s">
        <v>1356</v>
      </c>
      <c r="D289" s="243"/>
      <c r="E289" s="967">
        <v>0.35520000000000002</v>
      </c>
      <c r="F289" s="243"/>
      <c r="G289" s="480">
        <v>0</v>
      </c>
      <c r="H289" s="72">
        <v>0</v>
      </c>
      <c r="I289" s="72">
        <v>168033.52</v>
      </c>
      <c r="J289" s="480">
        <v>0</v>
      </c>
      <c r="K289" s="480">
        <v>0</v>
      </c>
      <c r="L289" s="936">
        <f t="shared" si="35"/>
        <v>168033.52</v>
      </c>
    </row>
    <row r="290" spans="1:12" ht="56.25">
      <c r="A290" s="70">
        <v>1.27</v>
      </c>
      <c r="B290" s="857" t="s">
        <v>1400</v>
      </c>
      <c r="C290" s="243" t="s">
        <v>1357</v>
      </c>
      <c r="D290" s="243"/>
      <c r="E290" s="967">
        <v>0.27939999999999998</v>
      </c>
      <c r="F290" s="243"/>
      <c r="G290" s="480">
        <v>0</v>
      </c>
      <c r="H290" s="72">
        <v>0</v>
      </c>
      <c r="I290" s="72">
        <f>51715.72+71987.93</f>
        <v>123703.65</v>
      </c>
      <c r="J290" s="480">
        <v>0</v>
      </c>
      <c r="K290" s="480">
        <v>0</v>
      </c>
      <c r="L290" s="936">
        <f t="shared" si="35"/>
        <v>123703.65</v>
      </c>
    </row>
    <row r="291" spans="1:12" ht="56.25">
      <c r="A291" s="70">
        <v>1.28</v>
      </c>
      <c r="B291" s="857" t="s">
        <v>1549</v>
      </c>
      <c r="C291" s="243" t="s">
        <v>1393</v>
      </c>
      <c r="D291" s="243"/>
      <c r="E291" s="967"/>
      <c r="F291" s="243"/>
      <c r="G291" s="480">
        <v>0</v>
      </c>
      <c r="H291" s="72">
        <v>0</v>
      </c>
      <c r="I291" s="72">
        <v>248420.9</v>
      </c>
      <c r="J291" s="480">
        <v>0</v>
      </c>
      <c r="K291" s="480">
        <v>0</v>
      </c>
      <c r="L291" s="936">
        <f t="shared" si="35"/>
        <v>248420.9</v>
      </c>
    </row>
    <row r="292" spans="1:12" ht="75">
      <c r="A292" s="70">
        <v>1.29</v>
      </c>
      <c r="B292" s="857" t="s">
        <v>1397</v>
      </c>
      <c r="C292" s="243" t="s">
        <v>1394</v>
      </c>
      <c r="D292" s="243"/>
      <c r="E292" s="967">
        <v>0.83</v>
      </c>
      <c r="F292" s="243"/>
      <c r="G292" s="480">
        <v>0</v>
      </c>
      <c r="H292" s="72">
        <v>0</v>
      </c>
      <c r="I292" s="72">
        <v>133988.56</v>
      </c>
      <c r="J292" s="480">
        <v>0</v>
      </c>
      <c r="K292" s="480">
        <v>0</v>
      </c>
      <c r="L292" s="936">
        <f t="shared" si="35"/>
        <v>133988.56</v>
      </c>
    </row>
    <row r="293" spans="1:12" ht="18.75">
      <c r="A293" s="84"/>
      <c r="B293" s="89"/>
      <c r="C293" s="118" t="s">
        <v>6</v>
      </c>
      <c r="D293" s="913"/>
      <c r="E293" s="967"/>
      <c r="F293" s="853"/>
      <c r="G293" s="78">
        <f>SUM(G263:G282)</f>
        <v>0</v>
      </c>
      <c r="H293" s="78">
        <f>SUM(H263:H282)</f>
        <v>11753.07</v>
      </c>
      <c r="I293" s="78">
        <f>SUM(I263:I292)</f>
        <v>4988246.9300000006</v>
      </c>
      <c r="J293" s="78">
        <f>SUM(J263:J292)</f>
        <v>0</v>
      </c>
      <c r="K293" s="78">
        <f>SUM(K263:K292)</f>
        <v>0</v>
      </c>
      <c r="L293" s="78">
        <f>SUM(L263:L292)</f>
        <v>5000000</v>
      </c>
    </row>
    <row r="294" spans="1:12" ht="15.75">
      <c r="A294" s="60"/>
      <c r="B294" s="227"/>
      <c r="F294" s="592"/>
      <c r="L294" s="55"/>
    </row>
    <row r="295" spans="1:12" ht="18.75">
      <c r="A295" s="100"/>
      <c r="B295" s="271"/>
      <c r="C295" s="102" t="s">
        <v>34</v>
      </c>
      <c r="D295" s="275"/>
      <c r="E295" s="275"/>
      <c r="F295" s="275"/>
      <c r="G295" s="107">
        <f>SUM(G296:G331)</f>
        <v>0</v>
      </c>
      <c r="H295" s="107">
        <f t="shared" ref="H295:K295" si="37">SUM(H296:H331)</f>
        <v>0</v>
      </c>
      <c r="I295" s="107">
        <f t="shared" si="37"/>
        <v>8000000</v>
      </c>
      <c r="J295" s="107">
        <f t="shared" si="37"/>
        <v>0</v>
      </c>
      <c r="K295" s="107">
        <f t="shared" si="37"/>
        <v>0</v>
      </c>
      <c r="L295" s="273">
        <f>SUM(G295:K295)</f>
        <v>8000000</v>
      </c>
    </row>
    <row r="296" spans="1:12" ht="18.75">
      <c r="A296" s="61">
        <v>1</v>
      </c>
      <c r="B296" s="247"/>
      <c r="C296" s="11" t="s">
        <v>35</v>
      </c>
      <c r="D296" s="276"/>
      <c r="E296" s="276"/>
      <c r="F296" s="533"/>
      <c r="G296" s="480">
        <v>0</v>
      </c>
      <c r="H296" s="269">
        <v>0</v>
      </c>
      <c r="I296" s="59">
        <f>8000000-8000000</f>
        <v>0</v>
      </c>
      <c r="J296" s="480">
        <v>0</v>
      </c>
      <c r="K296" s="480">
        <v>0</v>
      </c>
      <c r="L296" s="945">
        <f t="shared" ref="L296:L332" si="38">SUM(G296:K296)</f>
        <v>0</v>
      </c>
    </row>
    <row r="297" spans="1:12" ht="60">
      <c r="A297" s="193">
        <v>1.1000000000000001</v>
      </c>
      <c r="B297" s="681" t="s">
        <v>1421</v>
      </c>
      <c r="C297" s="171" t="s">
        <v>1178</v>
      </c>
      <c r="D297" s="276"/>
      <c r="E297" s="276"/>
      <c r="F297" s="533"/>
      <c r="G297" s="480">
        <v>0</v>
      </c>
      <c r="H297" s="269">
        <v>0</v>
      </c>
      <c r="I297" s="59">
        <v>0</v>
      </c>
      <c r="J297" s="480">
        <v>0</v>
      </c>
      <c r="K297" s="480">
        <v>0</v>
      </c>
      <c r="L297" s="945">
        <f>SUM(G297:K297)</f>
        <v>0</v>
      </c>
    </row>
    <row r="298" spans="1:12" ht="30">
      <c r="A298" s="193">
        <f>A297+0.1</f>
        <v>1.2000000000000002</v>
      </c>
      <c r="B298" s="682" t="s">
        <v>1422</v>
      </c>
      <c r="C298" s="171" t="s">
        <v>1179</v>
      </c>
      <c r="D298" s="276"/>
      <c r="E298" s="276"/>
      <c r="F298" s="533"/>
      <c r="G298" s="480">
        <v>0</v>
      </c>
      <c r="H298" s="269">
        <v>0</v>
      </c>
      <c r="I298" s="59">
        <v>231873.92000000001</v>
      </c>
      <c r="J298" s="480">
        <v>0</v>
      </c>
      <c r="K298" s="480">
        <v>0</v>
      </c>
      <c r="L298" s="945">
        <f t="shared" ref="L298:L331" si="39">SUM(G298:K298)</f>
        <v>231873.92000000001</v>
      </c>
    </row>
    <row r="299" spans="1:12" ht="150">
      <c r="A299" s="193">
        <f t="shared" ref="A299:A305" si="40">A298+0.1</f>
        <v>1.3000000000000003</v>
      </c>
      <c r="B299" s="682" t="s">
        <v>1423</v>
      </c>
      <c r="C299" s="171" t="s">
        <v>1180</v>
      </c>
      <c r="D299" s="276"/>
      <c r="E299" s="276"/>
      <c r="F299" s="533"/>
      <c r="G299" s="480">
        <v>0</v>
      </c>
      <c r="H299" s="269">
        <v>0</v>
      </c>
      <c r="I299" s="59">
        <v>320052.21000000002</v>
      </c>
      <c r="J299" s="480">
        <v>0</v>
      </c>
      <c r="K299" s="480">
        <v>0</v>
      </c>
      <c r="L299" s="945">
        <f t="shared" si="39"/>
        <v>320052.21000000002</v>
      </c>
    </row>
    <row r="300" spans="1:12" ht="120">
      <c r="A300" s="193">
        <f t="shared" si="40"/>
        <v>1.4000000000000004</v>
      </c>
      <c r="B300" s="682" t="s">
        <v>1424</v>
      </c>
      <c r="C300" s="171" t="s">
        <v>1181</v>
      </c>
      <c r="D300" s="276"/>
      <c r="E300" s="276"/>
      <c r="F300" s="533"/>
      <c r="G300" s="480">
        <v>0</v>
      </c>
      <c r="H300" s="480">
        <v>0</v>
      </c>
      <c r="I300" s="155">
        <v>330827.74</v>
      </c>
      <c r="J300" s="480">
        <v>0</v>
      </c>
      <c r="K300" s="480">
        <v>0</v>
      </c>
      <c r="L300" s="945">
        <f t="shared" si="39"/>
        <v>330827.74</v>
      </c>
    </row>
    <row r="301" spans="1:12" ht="225">
      <c r="A301" s="193">
        <f t="shared" si="40"/>
        <v>1.5000000000000004</v>
      </c>
      <c r="B301" s="682" t="s">
        <v>1425</v>
      </c>
      <c r="C301" s="171" t="s">
        <v>1182</v>
      </c>
      <c r="D301" s="276"/>
      <c r="E301" s="276"/>
      <c r="F301" s="533"/>
      <c r="G301" s="480">
        <v>0</v>
      </c>
      <c r="H301" s="480">
        <v>0</v>
      </c>
      <c r="I301" s="155">
        <v>422929.45999999996</v>
      </c>
      <c r="J301" s="480">
        <v>0</v>
      </c>
      <c r="K301" s="480">
        <v>0</v>
      </c>
      <c r="L301" s="945">
        <f t="shared" si="39"/>
        <v>422929.45999999996</v>
      </c>
    </row>
    <row r="302" spans="1:12" ht="90" customHeight="1">
      <c r="A302" s="193">
        <f t="shared" si="40"/>
        <v>1.6000000000000005</v>
      </c>
      <c r="B302" s="957" t="s">
        <v>1426</v>
      </c>
      <c r="C302" s="171" t="s">
        <v>1183</v>
      </c>
      <c r="D302" s="263"/>
      <c r="E302" s="263"/>
      <c r="F302" s="533"/>
      <c r="G302" s="480">
        <v>0</v>
      </c>
      <c r="H302" s="958">
        <v>0</v>
      </c>
      <c r="I302" s="274">
        <v>213112.9</v>
      </c>
      <c r="J302" s="480">
        <v>0</v>
      </c>
      <c r="K302" s="480">
        <v>0</v>
      </c>
      <c r="L302" s="945">
        <f t="shared" si="39"/>
        <v>213112.9</v>
      </c>
    </row>
    <row r="303" spans="1:12" ht="150">
      <c r="A303" s="193">
        <f t="shared" si="40"/>
        <v>1.7000000000000006</v>
      </c>
      <c r="B303" s="682" t="s">
        <v>1427</v>
      </c>
      <c r="C303" s="171" t="s">
        <v>1184</v>
      </c>
      <c r="D303" s="276"/>
      <c r="E303" s="276"/>
      <c r="F303" s="533"/>
      <c r="G303" s="480">
        <v>0</v>
      </c>
      <c r="H303" s="269">
        <v>0</v>
      </c>
      <c r="I303" s="59">
        <v>419159.71</v>
      </c>
      <c r="J303" s="480">
        <v>0</v>
      </c>
      <c r="K303" s="480">
        <v>0</v>
      </c>
      <c r="L303" s="945">
        <f t="shared" si="39"/>
        <v>419159.71</v>
      </c>
    </row>
    <row r="304" spans="1:12" ht="225">
      <c r="A304" s="193">
        <f t="shared" si="40"/>
        <v>1.8000000000000007</v>
      </c>
      <c r="B304" s="682" t="s">
        <v>1428</v>
      </c>
      <c r="C304" s="171" t="s">
        <v>1185</v>
      </c>
      <c r="D304" s="276"/>
      <c r="E304" s="276"/>
      <c r="F304" s="533"/>
      <c r="G304" s="480">
        <v>0</v>
      </c>
      <c r="H304" s="480">
        <v>0</v>
      </c>
      <c r="I304" s="155">
        <v>319998.15999999997</v>
      </c>
      <c r="J304" s="480">
        <v>0</v>
      </c>
      <c r="K304" s="480">
        <v>0</v>
      </c>
      <c r="L304" s="945">
        <f t="shared" si="39"/>
        <v>319998.15999999997</v>
      </c>
    </row>
    <row r="305" spans="1:12" ht="195">
      <c r="A305" s="193">
        <f t="shared" si="40"/>
        <v>1.9000000000000008</v>
      </c>
      <c r="B305" s="682" t="s">
        <v>1429</v>
      </c>
      <c r="C305" s="171" t="s">
        <v>1186</v>
      </c>
      <c r="D305" s="276"/>
      <c r="E305" s="276"/>
      <c r="F305" s="533"/>
      <c r="G305" s="480">
        <v>0</v>
      </c>
      <c r="H305" s="480">
        <v>0</v>
      </c>
      <c r="I305" s="155">
        <v>410559.57999999996</v>
      </c>
      <c r="J305" s="480">
        <v>0</v>
      </c>
      <c r="K305" s="480">
        <v>0</v>
      </c>
      <c r="L305" s="945">
        <f t="shared" si="39"/>
        <v>410559.57999999996</v>
      </c>
    </row>
    <row r="306" spans="1:12" ht="120">
      <c r="A306" s="348" t="s">
        <v>729</v>
      </c>
      <c r="B306" s="682" t="s">
        <v>1430</v>
      </c>
      <c r="C306" s="171" t="s">
        <v>1187</v>
      </c>
      <c r="D306" s="276"/>
      <c r="E306" s="276"/>
      <c r="F306" s="533"/>
      <c r="G306" s="480">
        <v>0</v>
      </c>
      <c r="H306" s="269">
        <v>0</v>
      </c>
      <c r="I306" s="59">
        <v>344549.52</v>
      </c>
      <c r="J306" s="480">
        <v>0</v>
      </c>
      <c r="K306" s="480">
        <v>0</v>
      </c>
      <c r="L306" s="945">
        <f t="shared" si="39"/>
        <v>344549.52</v>
      </c>
    </row>
    <row r="307" spans="1:12" ht="135">
      <c r="A307" s="172" t="s">
        <v>1098</v>
      </c>
      <c r="B307" s="682" t="s">
        <v>1431</v>
      </c>
      <c r="C307" s="171" t="s">
        <v>1188</v>
      </c>
      <c r="D307" s="276"/>
      <c r="E307" s="276"/>
      <c r="F307" s="533"/>
      <c r="G307" s="480">
        <v>0</v>
      </c>
      <c r="H307" s="269">
        <v>0</v>
      </c>
      <c r="I307" s="59">
        <v>307884.59999999998</v>
      </c>
      <c r="J307" s="480">
        <v>0</v>
      </c>
      <c r="K307" s="480">
        <v>0</v>
      </c>
      <c r="L307" s="945">
        <f t="shared" si="39"/>
        <v>307884.59999999998</v>
      </c>
    </row>
    <row r="308" spans="1:12" ht="42.75">
      <c r="A308" s="172" t="s">
        <v>1099</v>
      </c>
      <c r="B308" s="957" t="s">
        <v>1432</v>
      </c>
      <c r="C308" s="601" t="s">
        <v>1189</v>
      </c>
      <c r="D308" s="263"/>
      <c r="E308" s="263"/>
      <c r="F308" s="533"/>
      <c r="G308" s="480">
        <v>0</v>
      </c>
      <c r="H308" s="958">
        <v>0</v>
      </c>
      <c r="I308" s="274">
        <v>116537.63</v>
      </c>
      <c r="J308" s="480">
        <v>0</v>
      </c>
      <c r="K308" s="480">
        <v>0</v>
      </c>
      <c r="L308" s="945">
        <f t="shared" si="39"/>
        <v>116537.63</v>
      </c>
    </row>
    <row r="309" spans="1:12" ht="42.75">
      <c r="A309" s="172" t="s">
        <v>1100</v>
      </c>
      <c r="B309" s="682" t="s">
        <v>1433</v>
      </c>
      <c r="C309" s="601" t="s">
        <v>1190</v>
      </c>
      <c r="D309" s="276"/>
      <c r="E309" s="276"/>
      <c r="F309" s="533"/>
      <c r="G309" s="480">
        <v>0</v>
      </c>
      <c r="H309" s="269">
        <v>0</v>
      </c>
      <c r="I309" s="59">
        <v>194459.67</v>
      </c>
      <c r="J309" s="480">
        <v>0</v>
      </c>
      <c r="K309" s="480">
        <v>0</v>
      </c>
      <c r="L309" s="945">
        <f t="shared" si="39"/>
        <v>194459.67</v>
      </c>
    </row>
    <row r="310" spans="1:12" ht="71.25">
      <c r="A310" s="492">
        <v>1.1399999999999999</v>
      </c>
      <c r="B310" s="682" t="s">
        <v>1434</v>
      </c>
      <c r="C310" s="601" t="s">
        <v>1191</v>
      </c>
      <c r="D310" s="276"/>
      <c r="E310" s="276"/>
      <c r="F310" s="533"/>
      <c r="G310" s="480">
        <v>0</v>
      </c>
      <c r="H310" s="269">
        <v>0</v>
      </c>
      <c r="I310" s="59">
        <v>63290.26</v>
      </c>
      <c r="J310" s="480">
        <v>0</v>
      </c>
      <c r="K310" s="480">
        <v>0</v>
      </c>
      <c r="L310" s="945">
        <f t="shared" si="39"/>
        <v>63290.26</v>
      </c>
    </row>
    <row r="311" spans="1:12" ht="30">
      <c r="A311" s="492">
        <v>1.1499999999999999</v>
      </c>
      <c r="B311" s="682" t="s">
        <v>1435</v>
      </c>
      <c r="C311" s="171" t="s">
        <v>272</v>
      </c>
      <c r="D311" s="276"/>
      <c r="E311" s="276"/>
      <c r="F311" s="533"/>
      <c r="G311" s="480">
        <v>0</v>
      </c>
      <c r="H311" s="269">
        <v>0</v>
      </c>
      <c r="I311" s="59">
        <v>285699.48</v>
      </c>
      <c r="J311" s="480">
        <v>0</v>
      </c>
      <c r="K311" s="480">
        <v>0</v>
      </c>
      <c r="L311" s="945">
        <f t="shared" si="39"/>
        <v>285699.48</v>
      </c>
    </row>
    <row r="312" spans="1:12" ht="42.75">
      <c r="A312" s="492">
        <v>1.1599999999999999</v>
      </c>
      <c r="B312" s="682" t="s">
        <v>1436</v>
      </c>
      <c r="C312" s="601" t="s">
        <v>1192</v>
      </c>
      <c r="D312" s="276"/>
      <c r="E312" s="276"/>
      <c r="F312" s="533"/>
      <c r="G312" s="480">
        <v>0</v>
      </c>
      <c r="H312" s="269">
        <v>0</v>
      </c>
      <c r="I312" s="59">
        <v>259196.22</v>
      </c>
      <c r="J312" s="480">
        <v>0</v>
      </c>
      <c r="K312" s="480">
        <v>0</v>
      </c>
      <c r="L312" s="945">
        <f t="shared" si="39"/>
        <v>259196.22</v>
      </c>
    </row>
    <row r="313" spans="1:12" ht="42.75">
      <c r="A313" s="492">
        <v>1.17</v>
      </c>
      <c r="B313" s="682" t="s">
        <v>1241</v>
      </c>
      <c r="C313" s="601" t="s">
        <v>1193</v>
      </c>
      <c r="D313" s="276"/>
      <c r="E313" s="276"/>
      <c r="F313" s="533"/>
      <c r="G313" s="480">
        <v>0</v>
      </c>
      <c r="H313" s="480">
        <v>0</v>
      </c>
      <c r="I313" s="155">
        <v>19619.509999999995</v>
      </c>
      <c r="J313" s="480">
        <v>0</v>
      </c>
      <c r="K313" s="480">
        <v>0</v>
      </c>
      <c r="L313" s="945">
        <f t="shared" si="39"/>
        <v>19619.509999999995</v>
      </c>
    </row>
    <row r="314" spans="1:12" ht="57">
      <c r="A314" s="492">
        <v>1.18</v>
      </c>
      <c r="B314" s="682" t="s">
        <v>1242</v>
      </c>
      <c r="C314" s="601" t="s">
        <v>1194</v>
      </c>
      <c r="D314" s="276"/>
      <c r="E314" s="276"/>
      <c r="F314" s="533"/>
      <c r="G314" s="480">
        <v>0</v>
      </c>
      <c r="H314" s="480">
        <v>0</v>
      </c>
      <c r="I314" s="155">
        <v>42527.16</v>
      </c>
      <c r="J314" s="480">
        <v>0</v>
      </c>
      <c r="K314" s="480">
        <v>0</v>
      </c>
      <c r="L314" s="945">
        <f t="shared" si="39"/>
        <v>42527.16</v>
      </c>
    </row>
    <row r="315" spans="1:12" ht="41.45" customHeight="1">
      <c r="A315" s="492">
        <v>1.19</v>
      </c>
      <c r="B315" s="682" t="s">
        <v>1244</v>
      </c>
      <c r="C315" s="601" t="s">
        <v>1195</v>
      </c>
      <c r="D315" s="276"/>
      <c r="E315" s="276"/>
      <c r="F315" s="533"/>
      <c r="G315" s="480">
        <v>0</v>
      </c>
      <c r="H315" s="269">
        <v>0</v>
      </c>
      <c r="I315" s="59">
        <v>18139.87</v>
      </c>
      <c r="J315" s="480">
        <v>0</v>
      </c>
      <c r="K315" s="480">
        <v>0</v>
      </c>
      <c r="L315" s="945">
        <f t="shared" si="39"/>
        <v>18139.87</v>
      </c>
    </row>
    <row r="316" spans="1:12" ht="28.5">
      <c r="A316" s="348" t="s">
        <v>789</v>
      </c>
      <c r="B316" s="682" t="s">
        <v>1245</v>
      </c>
      <c r="C316" s="601" t="s">
        <v>1196</v>
      </c>
      <c r="D316" s="276"/>
      <c r="E316" s="276"/>
      <c r="F316" s="533"/>
      <c r="G316" s="480">
        <v>0</v>
      </c>
      <c r="H316" s="269">
        <v>0</v>
      </c>
      <c r="I316" s="59">
        <v>22130.47</v>
      </c>
      <c r="J316" s="480">
        <v>0</v>
      </c>
      <c r="K316" s="480">
        <v>0</v>
      </c>
      <c r="L316" s="945">
        <f t="shared" si="39"/>
        <v>22130.47</v>
      </c>
    </row>
    <row r="317" spans="1:12" ht="114">
      <c r="A317" s="193">
        <v>1.21</v>
      </c>
      <c r="B317" s="682" t="s">
        <v>1437</v>
      </c>
      <c r="C317" s="601" t="s">
        <v>1197</v>
      </c>
      <c r="D317" s="276"/>
      <c r="E317" s="276"/>
      <c r="F317" s="533"/>
      <c r="G317" s="480">
        <v>0</v>
      </c>
      <c r="H317" s="269">
        <v>0</v>
      </c>
      <c r="I317" s="59">
        <v>171353.91</v>
      </c>
      <c r="J317" s="480">
        <v>0</v>
      </c>
      <c r="K317" s="480">
        <v>0</v>
      </c>
      <c r="L317" s="945">
        <f t="shared" si="39"/>
        <v>171353.91</v>
      </c>
    </row>
    <row r="318" spans="1:12" ht="57">
      <c r="A318" s="193">
        <v>1.22</v>
      </c>
      <c r="B318" s="682" t="s">
        <v>1438</v>
      </c>
      <c r="C318" s="601" t="s">
        <v>1198</v>
      </c>
      <c r="D318" s="276"/>
      <c r="E318" s="276"/>
      <c r="F318" s="533"/>
      <c r="G318" s="480">
        <v>0</v>
      </c>
      <c r="H318" s="269">
        <v>0</v>
      </c>
      <c r="I318" s="59">
        <v>26780.11</v>
      </c>
      <c r="J318" s="480">
        <v>0</v>
      </c>
      <c r="K318" s="480">
        <v>0</v>
      </c>
      <c r="L318" s="945">
        <f t="shared" si="39"/>
        <v>26780.11</v>
      </c>
    </row>
    <row r="319" spans="1:12" ht="185.25">
      <c r="A319" s="193">
        <v>1.23</v>
      </c>
      <c r="B319" s="957" t="s">
        <v>1247</v>
      </c>
      <c r="C319" s="601" t="s">
        <v>1199</v>
      </c>
      <c r="D319" s="263"/>
      <c r="E319" s="263"/>
      <c r="F319" s="533"/>
      <c r="G319" s="480">
        <v>0</v>
      </c>
      <c r="H319" s="480">
        <v>0</v>
      </c>
      <c r="I319" s="155">
        <v>178283.35</v>
      </c>
      <c r="J319" s="480">
        <v>0</v>
      </c>
      <c r="K319" s="480">
        <v>0</v>
      </c>
      <c r="L319" s="945">
        <f t="shared" si="39"/>
        <v>178283.35</v>
      </c>
    </row>
    <row r="320" spans="1:12" ht="296.25" customHeight="1">
      <c r="A320" s="193">
        <v>1.24</v>
      </c>
      <c r="B320" s="682" t="s">
        <v>1249</v>
      </c>
      <c r="C320" s="601" t="s">
        <v>1200</v>
      </c>
      <c r="D320" s="276"/>
      <c r="E320" s="276"/>
      <c r="F320" s="533"/>
      <c r="G320" s="480">
        <v>0</v>
      </c>
      <c r="H320" s="480">
        <v>0</v>
      </c>
      <c r="I320" s="155">
        <v>378385.9</v>
      </c>
      <c r="J320" s="480">
        <v>0</v>
      </c>
      <c r="K320" s="480">
        <v>0</v>
      </c>
      <c r="L320" s="945">
        <f t="shared" si="39"/>
        <v>378385.9</v>
      </c>
    </row>
    <row r="321" spans="1:12" ht="160.5" customHeight="1">
      <c r="A321" s="193">
        <v>1.25</v>
      </c>
      <c r="B321" s="682" t="s">
        <v>1250</v>
      </c>
      <c r="C321" s="602" t="s">
        <v>1201</v>
      </c>
      <c r="D321" s="276"/>
      <c r="E321" s="276"/>
      <c r="F321" s="533"/>
      <c r="G321" s="480">
        <v>0</v>
      </c>
      <c r="H321" s="269">
        <v>0</v>
      </c>
      <c r="I321" s="59">
        <v>236659.50999999998</v>
      </c>
      <c r="J321" s="480">
        <v>0</v>
      </c>
      <c r="K321" s="480">
        <v>0</v>
      </c>
      <c r="L321" s="945">
        <f t="shared" si="39"/>
        <v>236659.50999999998</v>
      </c>
    </row>
    <row r="322" spans="1:12" ht="242.25">
      <c r="A322" s="193">
        <v>1.26</v>
      </c>
      <c r="B322" s="682" t="s">
        <v>1251</v>
      </c>
      <c r="C322" s="602" t="s">
        <v>1202</v>
      </c>
      <c r="D322" s="276"/>
      <c r="E322" s="276"/>
      <c r="F322" s="533"/>
      <c r="G322" s="480">
        <v>0</v>
      </c>
      <c r="H322" s="269">
        <v>0</v>
      </c>
      <c r="I322" s="59">
        <v>518229.14999999997</v>
      </c>
      <c r="J322" s="480">
        <v>0</v>
      </c>
      <c r="K322" s="480">
        <v>0</v>
      </c>
      <c r="L322" s="945">
        <f t="shared" si="39"/>
        <v>518229.14999999997</v>
      </c>
    </row>
    <row r="323" spans="1:12" ht="42.75">
      <c r="A323" s="193">
        <v>1.27</v>
      </c>
      <c r="B323" s="682" t="s">
        <v>1252</v>
      </c>
      <c r="C323" s="601" t="s">
        <v>1203</v>
      </c>
      <c r="D323" s="276"/>
      <c r="E323" s="276"/>
      <c r="F323" s="533"/>
      <c r="G323" s="480">
        <v>0</v>
      </c>
      <c r="H323" s="480">
        <v>0</v>
      </c>
      <c r="I323" s="155">
        <v>82767.23000000001</v>
      </c>
      <c r="J323" s="480">
        <v>0</v>
      </c>
      <c r="K323" s="480">
        <v>0</v>
      </c>
      <c r="L323" s="945">
        <f t="shared" si="39"/>
        <v>82767.23000000001</v>
      </c>
    </row>
    <row r="324" spans="1:12" ht="28.5">
      <c r="A324" s="193">
        <v>1.28</v>
      </c>
      <c r="B324" s="682" t="s">
        <v>1439</v>
      </c>
      <c r="C324" s="601" t="s">
        <v>1204</v>
      </c>
      <c r="D324" s="276"/>
      <c r="E324" s="276"/>
      <c r="F324" s="533"/>
      <c r="G324" s="480">
        <v>0</v>
      </c>
      <c r="H324" s="480">
        <v>0</v>
      </c>
      <c r="I324" s="155">
        <v>208447.31</v>
      </c>
      <c r="J324" s="480">
        <v>0</v>
      </c>
      <c r="K324" s="480">
        <v>0</v>
      </c>
      <c r="L324" s="945">
        <f t="shared" si="39"/>
        <v>208447.31</v>
      </c>
    </row>
    <row r="325" spans="1:12" ht="71.25">
      <c r="A325" s="193">
        <v>1.29</v>
      </c>
      <c r="B325" s="682" t="s">
        <v>1440</v>
      </c>
      <c r="C325" s="601" t="s">
        <v>1205</v>
      </c>
      <c r="D325" s="276"/>
      <c r="E325" s="276"/>
      <c r="F325" s="533"/>
      <c r="G325" s="480">
        <v>0</v>
      </c>
      <c r="H325" s="269">
        <v>0</v>
      </c>
      <c r="I325" s="59">
        <v>38616.449999999997</v>
      </c>
      <c r="J325" s="480">
        <v>0</v>
      </c>
      <c r="K325" s="480">
        <v>0</v>
      </c>
      <c r="L325" s="945">
        <f t="shared" si="39"/>
        <v>38616.449999999997</v>
      </c>
    </row>
    <row r="326" spans="1:12" ht="356.25">
      <c r="A326" s="348" t="s">
        <v>790</v>
      </c>
      <c r="B326" s="682" t="s">
        <v>1337</v>
      </c>
      <c r="C326" s="601" t="s">
        <v>1206</v>
      </c>
      <c r="D326" s="276"/>
      <c r="E326" s="276"/>
      <c r="F326" s="533"/>
      <c r="G326" s="480">
        <v>0</v>
      </c>
      <c r="H326" s="480">
        <v>0</v>
      </c>
      <c r="I326" s="155">
        <v>112296.71</v>
      </c>
      <c r="J326" s="480">
        <v>0</v>
      </c>
      <c r="K326" s="480">
        <v>0</v>
      </c>
      <c r="L326" s="945">
        <f t="shared" si="39"/>
        <v>112296.71</v>
      </c>
    </row>
    <row r="327" spans="1:12" ht="318.75">
      <c r="A327" s="193">
        <v>1.31</v>
      </c>
      <c r="B327" s="682"/>
      <c r="C327" s="602" t="s">
        <v>1207</v>
      </c>
      <c r="D327" s="276"/>
      <c r="E327" s="276"/>
      <c r="F327" s="533"/>
      <c r="G327" s="480">
        <v>0</v>
      </c>
      <c r="H327" s="480">
        <v>0</v>
      </c>
      <c r="I327" s="155">
        <v>425975</v>
      </c>
      <c r="J327" s="480">
        <v>0</v>
      </c>
      <c r="K327" s="480">
        <v>0</v>
      </c>
      <c r="L327" s="945">
        <f t="shared" si="39"/>
        <v>425975</v>
      </c>
    </row>
    <row r="328" spans="1:12" ht="409.5" customHeight="1">
      <c r="A328" s="193">
        <v>1.32</v>
      </c>
      <c r="B328" s="682" t="s">
        <v>1270</v>
      </c>
      <c r="C328" s="602" t="s">
        <v>1208</v>
      </c>
      <c r="D328" s="276"/>
      <c r="E328" s="276"/>
      <c r="F328" s="533"/>
      <c r="G328" s="480">
        <v>0</v>
      </c>
      <c r="H328" s="269">
        <v>0</v>
      </c>
      <c r="I328" s="59">
        <v>325897.06</v>
      </c>
      <c r="J328" s="480">
        <v>0</v>
      </c>
      <c r="K328" s="480">
        <v>0</v>
      </c>
      <c r="L328" s="945">
        <f t="shared" si="39"/>
        <v>325897.06</v>
      </c>
    </row>
    <row r="329" spans="1:12" ht="42.75">
      <c r="A329" s="193">
        <v>1.33</v>
      </c>
      <c r="B329" s="682" t="s">
        <v>1441</v>
      </c>
      <c r="C329" s="601" t="s">
        <v>1209</v>
      </c>
      <c r="D329" s="276"/>
      <c r="E329" s="276"/>
      <c r="F329" s="533"/>
      <c r="G329" s="480">
        <v>0</v>
      </c>
      <c r="H329" s="480">
        <v>0</v>
      </c>
      <c r="I329" s="155">
        <v>218572.07</v>
      </c>
      <c r="J329" s="480">
        <v>0</v>
      </c>
      <c r="K329" s="480">
        <v>0</v>
      </c>
      <c r="L329" s="945">
        <f t="shared" si="39"/>
        <v>218572.07</v>
      </c>
    </row>
    <row r="330" spans="1:12" ht="387.75" customHeight="1">
      <c r="A330" s="193" t="s">
        <v>29</v>
      </c>
      <c r="B330" s="957" t="s">
        <v>1442</v>
      </c>
      <c r="C330" s="601" t="s">
        <v>1210</v>
      </c>
      <c r="D330" s="263"/>
      <c r="E330" s="263"/>
      <c r="F330" s="533"/>
      <c r="G330" s="480">
        <v>0</v>
      </c>
      <c r="H330" s="480">
        <v>0</v>
      </c>
      <c r="I330" s="155">
        <v>715813.75</v>
      </c>
      <c r="J330" s="480">
        <v>0</v>
      </c>
      <c r="K330" s="480">
        <v>0</v>
      </c>
      <c r="L330" s="945">
        <f t="shared" si="39"/>
        <v>715813.75</v>
      </c>
    </row>
    <row r="331" spans="1:12" ht="57">
      <c r="A331" s="193">
        <v>1.35</v>
      </c>
      <c r="B331" s="682" t="s">
        <v>1443</v>
      </c>
      <c r="C331" s="601" t="s">
        <v>1211</v>
      </c>
      <c r="D331" s="276"/>
      <c r="E331" s="276"/>
      <c r="F331" s="533"/>
      <c r="G331" s="480">
        <v>0</v>
      </c>
      <c r="H331" s="269">
        <v>0</v>
      </c>
      <c r="I331" s="59">
        <v>19374.419999999998</v>
      </c>
      <c r="J331" s="480">
        <v>0</v>
      </c>
      <c r="K331" s="480">
        <v>0</v>
      </c>
      <c r="L331" s="945">
        <f t="shared" si="39"/>
        <v>19374.419999999998</v>
      </c>
    </row>
    <row r="332" spans="1:12" ht="18.75">
      <c r="A332" s="180"/>
      <c r="B332" s="247"/>
      <c r="C332" s="171"/>
      <c r="D332" s="170"/>
      <c r="E332" s="170"/>
      <c r="F332" s="533"/>
      <c r="G332" s="480"/>
      <c r="H332" s="480"/>
      <c r="I332" s="155"/>
      <c r="J332" s="480"/>
      <c r="K332" s="480"/>
      <c r="L332" s="945">
        <f t="shared" si="38"/>
        <v>0</v>
      </c>
    </row>
    <row r="333" spans="1:12" ht="15.75" thickBot="1">
      <c r="A333" s="53"/>
      <c r="B333" s="62"/>
      <c r="C333" s="256" t="s">
        <v>6</v>
      </c>
      <c r="D333" s="62"/>
      <c r="E333" s="62"/>
      <c r="F333" s="754"/>
      <c r="G333" s="63">
        <f>SUM(G296:G332)</f>
        <v>0</v>
      </c>
      <c r="H333" s="63">
        <f t="shared" ref="H333:L333" si="41">SUM(H296:H332)</f>
        <v>0</v>
      </c>
      <c r="I333" s="63">
        <f t="shared" si="41"/>
        <v>8000000</v>
      </c>
      <c r="J333" s="63">
        <f t="shared" si="41"/>
        <v>0</v>
      </c>
      <c r="K333" s="63">
        <f t="shared" si="41"/>
        <v>0</v>
      </c>
      <c r="L333" s="946">
        <f t="shared" si="41"/>
        <v>8000000</v>
      </c>
    </row>
    <row r="334" spans="1:12" ht="15.75">
      <c r="A334" s="227"/>
      <c r="B334" s="227"/>
      <c r="C334" s="228"/>
      <c r="D334" s="228"/>
      <c r="E334" s="228"/>
      <c r="F334" s="592"/>
      <c r="G334" s="229"/>
      <c r="H334" s="229"/>
      <c r="I334" s="229"/>
      <c r="J334" s="229"/>
      <c r="K334" s="229"/>
      <c r="L334" s="229"/>
    </row>
    <row r="335" spans="1:12" ht="15.75">
      <c r="A335" s="282"/>
      <c r="B335" s="294"/>
      <c r="C335" s="277" t="s">
        <v>6</v>
      </c>
      <c r="D335" s="295"/>
      <c r="E335" s="295"/>
      <c r="F335" s="296"/>
      <c r="G335" s="374">
        <f t="shared" ref="G335:L335" si="42">+G7+G16+G23+G57+G65+G72+G104+G115+G133+G176+G245+G262+G295</f>
        <v>78125582.939999998</v>
      </c>
      <c r="H335" s="374">
        <f t="shared" si="42"/>
        <v>64861287.319999985</v>
      </c>
      <c r="I335" s="374">
        <f t="shared" si="42"/>
        <v>100792976.13000001</v>
      </c>
      <c r="J335" s="374">
        <f t="shared" si="42"/>
        <v>159637583.57999998</v>
      </c>
      <c r="K335" s="374">
        <f t="shared" si="42"/>
        <v>44844286.120000005</v>
      </c>
      <c r="L335" s="375">
        <f t="shared" si="42"/>
        <v>448261716.08999997</v>
      </c>
    </row>
    <row r="336" spans="1:12" ht="15.75">
      <c r="A336" s="283"/>
      <c r="B336" s="293"/>
      <c r="C336" s="280" t="s">
        <v>36</v>
      </c>
      <c r="D336" s="278"/>
      <c r="E336" s="278"/>
      <c r="F336" s="279"/>
      <c r="G336" s="524">
        <f>76320561.71+1188528.45+0.78+616492</f>
        <v>78125582.939999998</v>
      </c>
      <c r="H336" s="524">
        <f>63650271+1628368-417351.68</f>
        <v>64861287.32</v>
      </c>
      <c r="I336" s="524">
        <f>17305000+1200000+3800000+1171632-500000+300000+2000000+500000+500000+3000000+3110292.94+643040</f>
        <v>33029964.940000001</v>
      </c>
      <c r="J336" s="525">
        <f>147087583.58+250000+3500000+8800000</f>
        <v>159637583.58000001</v>
      </c>
      <c r="K336" s="525">
        <f>44855258.62-10972.5</f>
        <v>44844286.119999997</v>
      </c>
      <c r="L336" s="526">
        <f>SUM(G336:K336)</f>
        <v>380498704.89999998</v>
      </c>
    </row>
    <row r="337" spans="1:12" ht="31.5">
      <c r="A337" s="284"/>
      <c r="B337" s="297"/>
      <c r="C337" s="281" t="s">
        <v>37</v>
      </c>
      <c r="D337" s="298"/>
      <c r="E337" s="298"/>
      <c r="F337" s="299"/>
      <c r="G337" s="299">
        <f>+G335-G336</f>
        <v>0</v>
      </c>
      <c r="H337" s="299">
        <f t="shared" ref="H337:K337" si="43">+H335-H336</f>
        <v>0</v>
      </c>
      <c r="I337" s="299">
        <f t="shared" si="43"/>
        <v>67763011.190000013</v>
      </c>
      <c r="J337" s="299">
        <f t="shared" si="43"/>
        <v>0</v>
      </c>
      <c r="K337" s="299">
        <f t="shared" si="43"/>
        <v>0</v>
      </c>
      <c r="L337" s="948">
        <f>+L335-L336</f>
        <v>67763011.189999998</v>
      </c>
    </row>
    <row r="338" spans="1:12" s="138" customFormat="1" ht="15.75">
      <c r="A338" s="46"/>
      <c r="B338" s="46"/>
      <c r="C338" s="65"/>
      <c r="D338" s="592"/>
      <c r="E338" s="592"/>
      <c r="F338" s="593"/>
      <c r="G338" s="593"/>
      <c r="H338" s="593"/>
      <c r="I338" s="593"/>
      <c r="J338" s="593"/>
      <c r="K338" s="593"/>
      <c r="L338" s="593"/>
    </row>
    <row r="339" spans="1:12" s="953" customFormat="1" ht="15.75">
      <c r="A339" s="949"/>
      <c r="B339" s="949"/>
      <c r="C339" s="950"/>
      <c r="D339" s="951"/>
      <c r="E339" s="951"/>
      <c r="F339" s="952"/>
      <c r="G339" s="947">
        <v>78125582.940000013</v>
      </c>
      <c r="H339" s="947">
        <v>58285494.789999999</v>
      </c>
      <c r="I339" s="947">
        <v>100793499.94</v>
      </c>
      <c r="J339" s="947">
        <v>150837583.58000001</v>
      </c>
      <c r="K339" s="947">
        <v>44855258.620000005</v>
      </c>
      <c r="L339" s="947">
        <v>432897419.87</v>
      </c>
    </row>
    <row r="340" spans="1:12" s="953" customFormat="1" ht="15.75">
      <c r="A340" s="949"/>
      <c r="B340" s="949"/>
      <c r="C340" s="950"/>
      <c r="D340" s="951"/>
      <c r="E340" s="951"/>
      <c r="F340" s="952"/>
      <c r="G340" s="947"/>
      <c r="H340" s="947"/>
      <c r="I340" s="947"/>
      <c r="J340" s="947"/>
      <c r="K340" s="947"/>
      <c r="L340" s="947"/>
    </row>
    <row r="341" spans="1:12" s="953" customFormat="1" ht="15.75">
      <c r="A341" s="949"/>
      <c r="B341" s="949"/>
      <c r="C341" s="950"/>
      <c r="D341" s="951"/>
      <c r="E341" s="951"/>
      <c r="F341" s="952"/>
      <c r="G341" s="947">
        <f t="shared" ref="G341:I341" si="44">G335-G339</f>
        <v>0</v>
      </c>
      <c r="H341" s="947"/>
      <c r="I341" s="947">
        <f t="shared" si="44"/>
        <v>-523.80999998748302</v>
      </c>
      <c r="J341" s="947">
        <f>J335-J339</f>
        <v>8799999.9999999702</v>
      </c>
      <c r="K341" s="947">
        <f>K335-K339</f>
        <v>-10972.5</v>
      </c>
      <c r="L341" s="947"/>
    </row>
    <row r="342" spans="1:12" ht="15.75">
      <c r="A342" s="227"/>
      <c r="B342" s="227"/>
      <c r="C342" s="228"/>
      <c r="D342" s="228"/>
      <c r="E342" s="228"/>
      <c r="F342" s="592"/>
      <c r="G342" s="229"/>
      <c r="H342" s="229"/>
      <c r="I342" s="947">
        <v>68114813.510000005</v>
      </c>
      <c r="J342" s="947">
        <f>I337-I342</f>
        <v>-351802.31999999285</v>
      </c>
      <c r="K342" s="229"/>
      <c r="L342" s="229"/>
    </row>
    <row r="343" spans="1:12" s="291" customFormat="1">
      <c r="A343" s="287" t="s">
        <v>754</v>
      </c>
      <c r="B343" s="287"/>
      <c r="C343" s="287"/>
      <c r="D343" s="287"/>
      <c r="E343" s="287"/>
      <c r="F343" s="758"/>
      <c r="G343" s="287"/>
      <c r="H343" s="287"/>
      <c r="I343" s="287"/>
      <c r="J343" s="693"/>
      <c r="K343" s="1"/>
      <c r="L343" s="288"/>
    </row>
    <row r="344" spans="1:12" s="291" customFormat="1" ht="13.9" customHeight="1">
      <c r="A344" s="998" t="s">
        <v>755</v>
      </c>
      <c r="B344" s="998"/>
      <c r="C344" s="998"/>
      <c r="D344" s="998"/>
      <c r="E344" s="998"/>
      <c r="F344" s="998"/>
      <c r="G344" s="998"/>
      <c r="H344" s="998"/>
      <c r="I344" s="998"/>
      <c r="J344" s="998"/>
      <c r="K344" s="998"/>
      <c r="L344" s="288"/>
    </row>
    <row r="345" spans="1:12" ht="15.75">
      <c r="A345"/>
      <c r="B345"/>
      <c r="C345"/>
      <c r="D345"/>
      <c r="E345"/>
      <c r="F345" s="344"/>
      <c r="G345"/>
      <c r="H345"/>
      <c r="I345"/>
      <c r="J345"/>
      <c r="K345" s="229"/>
      <c r="L345" s="229"/>
    </row>
    <row r="347" spans="1:12">
      <c r="C347" s="255" t="s">
        <v>1567</v>
      </c>
    </row>
    <row r="348" spans="1:12">
      <c r="C348" s="255" t="s">
        <v>1566</v>
      </c>
    </row>
  </sheetData>
  <autoFilter ref="E1:E345" xr:uid="{00000000-0009-0000-0000-000000000000}"/>
  <mergeCells count="3">
    <mergeCell ref="A2:L2"/>
    <mergeCell ref="A3:L3"/>
    <mergeCell ref="A344:K344"/>
  </mergeCells>
  <pageMargins left="0.51181102362204722" right="0.51181102362204722" top="0.74803149606299213" bottom="0.74803149606299213" header="0.31496062992125984" footer="0.31496062992125984"/>
  <pageSetup scale="50" orientation="landscape" r:id="rId1"/>
  <headerFooter>
    <oddFooter>Página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66"/>
  </sheetPr>
  <dimension ref="A1:H204"/>
  <sheetViews>
    <sheetView tabSelected="1" zoomScale="70" zoomScaleNormal="70" workbookViewId="0">
      <pane ySplit="8" topLeftCell="A9" activePane="bottomLeft" state="frozen"/>
      <selection pane="bottomLeft" activeCell="B14" sqref="B14"/>
    </sheetView>
  </sheetViews>
  <sheetFormatPr baseColWidth="10" defaultRowHeight="15"/>
  <cols>
    <col min="1" max="1" width="10.5703125" style="33" customWidth="1"/>
    <col min="2" max="2" width="82.28515625" style="255" customWidth="1"/>
    <col min="3" max="3" width="22.5703125" style="54" customWidth="1"/>
    <col min="4" max="4" width="65.5703125" style="250" customWidth="1"/>
    <col min="5" max="5" width="19.7109375" customWidth="1"/>
    <col min="6" max="6" width="20" customWidth="1"/>
    <col min="7" max="7" width="22.7109375" customWidth="1"/>
    <col min="8" max="8" width="22.42578125" customWidth="1"/>
    <col min="9" max="212" width="11.42578125" customWidth="1"/>
    <col min="213" max="213" width="7.85546875" customWidth="1"/>
    <col min="214" max="214" width="1.5703125" customWidth="1"/>
    <col min="215" max="215" width="56" customWidth="1"/>
    <col min="225" max="225" width="7.85546875" customWidth="1"/>
    <col min="226" max="226" width="11.42578125" customWidth="1"/>
    <col min="227" max="227" width="53" customWidth="1"/>
    <col min="228" max="228" width="18.140625" customWidth="1"/>
    <col min="229" max="229" width="18.28515625" customWidth="1"/>
    <col min="230" max="230" width="18.42578125" customWidth="1"/>
    <col min="231" max="231" width="20.5703125" customWidth="1"/>
    <col min="232" max="232" width="17.7109375" customWidth="1"/>
    <col min="233" max="233" width="20.7109375" customWidth="1"/>
    <col min="234" max="234" width="24.5703125" customWidth="1"/>
    <col min="235" max="235" width="26.140625" customWidth="1"/>
    <col min="236" max="236" width="41.5703125" customWidth="1"/>
    <col min="237" max="237" width="11.42578125" customWidth="1"/>
    <col min="238" max="238" width="47.85546875" customWidth="1"/>
    <col min="239" max="468" width="11.42578125" customWidth="1"/>
    <col min="469" max="469" width="7.85546875" customWidth="1"/>
    <col min="470" max="470" width="1.5703125" customWidth="1"/>
    <col min="471" max="471" width="56" customWidth="1"/>
    <col min="481" max="481" width="7.85546875" customWidth="1"/>
    <col min="482" max="482" width="11.42578125" customWidth="1"/>
    <col min="483" max="483" width="53" customWidth="1"/>
    <col min="484" max="484" width="18.140625" customWidth="1"/>
    <col min="485" max="485" width="18.28515625" customWidth="1"/>
    <col min="486" max="486" width="18.42578125" customWidth="1"/>
    <col min="487" max="487" width="20.5703125" customWidth="1"/>
    <col min="488" max="488" width="17.7109375" customWidth="1"/>
    <col min="489" max="489" width="20.7109375" customWidth="1"/>
    <col min="490" max="490" width="24.5703125" customWidth="1"/>
    <col min="491" max="491" width="26.140625" customWidth="1"/>
    <col min="492" max="492" width="41.5703125" customWidth="1"/>
    <col min="493" max="493" width="11.42578125" customWidth="1"/>
    <col min="494" max="494" width="47.85546875" customWidth="1"/>
    <col min="495" max="724" width="11.42578125" customWidth="1"/>
    <col min="725" max="725" width="7.85546875" customWidth="1"/>
    <col min="726" max="726" width="1.5703125" customWidth="1"/>
    <col min="727" max="727" width="56" customWidth="1"/>
    <col min="737" max="737" width="7.85546875" customWidth="1"/>
    <col min="738" max="738" width="11.42578125" customWidth="1"/>
    <col min="739" max="739" width="53" customWidth="1"/>
    <col min="740" max="740" width="18.140625" customWidth="1"/>
    <col min="741" max="741" width="18.28515625" customWidth="1"/>
    <col min="742" max="742" width="18.42578125" customWidth="1"/>
    <col min="743" max="743" width="20.5703125" customWidth="1"/>
    <col min="744" max="744" width="17.7109375" customWidth="1"/>
    <col min="745" max="745" width="20.7109375" customWidth="1"/>
    <col min="746" max="746" width="24.5703125" customWidth="1"/>
    <col min="747" max="747" width="26.140625" customWidth="1"/>
    <col min="748" max="748" width="41.5703125" customWidth="1"/>
    <col min="749" max="749" width="11.42578125" customWidth="1"/>
    <col min="750" max="750" width="47.85546875" customWidth="1"/>
    <col min="751" max="980" width="11.42578125" customWidth="1"/>
    <col min="981" max="981" width="7.85546875" customWidth="1"/>
    <col min="982" max="982" width="1.5703125" customWidth="1"/>
    <col min="983" max="983" width="56" customWidth="1"/>
    <col min="993" max="993" width="7.85546875" customWidth="1"/>
    <col min="994" max="994" width="11.42578125" customWidth="1"/>
    <col min="995" max="995" width="53" customWidth="1"/>
    <col min="996" max="996" width="18.140625" customWidth="1"/>
    <col min="997" max="997" width="18.28515625" customWidth="1"/>
    <col min="998" max="998" width="18.42578125" customWidth="1"/>
    <col min="999" max="999" width="20.5703125" customWidth="1"/>
    <col min="1000" max="1000" width="17.7109375" customWidth="1"/>
    <col min="1001" max="1001" width="20.7109375" customWidth="1"/>
    <col min="1002" max="1002" width="24.5703125" customWidth="1"/>
    <col min="1003" max="1003" width="26.140625" customWidth="1"/>
    <col min="1004" max="1004" width="41.5703125" customWidth="1"/>
    <col min="1005" max="1005" width="11.42578125" customWidth="1"/>
    <col min="1006" max="1006" width="47.85546875" customWidth="1"/>
    <col min="1007" max="1236" width="11.42578125" customWidth="1"/>
    <col min="1237" max="1237" width="7.85546875" customWidth="1"/>
    <col min="1238" max="1238" width="1.5703125" customWidth="1"/>
    <col min="1239" max="1239" width="56" customWidth="1"/>
    <col min="1249" max="1249" width="7.85546875" customWidth="1"/>
    <col min="1250" max="1250" width="11.42578125" customWidth="1"/>
    <col min="1251" max="1251" width="53" customWidth="1"/>
    <col min="1252" max="1252" width="18.140625" customWidth="1"/>
    <col min="1253" max="1253" width="18.28515625" customWidth="1"/>
    <col min="1254" max="1254" width="18.42578125" customWidth="1"/>
    <col min="1255" max="1255" width="20.5703125" customWidth="1"/>
    <col min="1256" max="1256" width="17.7109375" customWidth="1"/>
    <col min="1257" max="1257" width="20.7109375" customWidth="1"/>
    <col min="1258" max="1258" width="24.5703125" customWidth="1"/>
    <col min="1259" max="1259" width="26.140625" customWidth="1"/>
    <col min="1260" max="1260" width="41.5703125" customWidth="1"/>
    <col min="1261" max="1261" width="11.42578125" customWidth="1"/>
    <col min="1262" max="1262" width="47.85546875" customWidth="1"/>
    <col min="1263" max="1492" width="11.42578125" customWidth="1"/>
    <col min="1493" max="1493" width="7.85546875" customWidth="1"/>
    <col min="1494" max="1494" width="1.5703125" customWidth="1"/>
    <col min="1495" max="1495" width="56" customWidth="1"/>
    <col min="1505" max="1505" width="7.85546875" customWidth="1"/>
    <col min="1506" max="1506" width="11.42578125" customWidth="1"/>
    <col min="1507" max="1507" width="53" customWidth="1"/>
    <col min="1508" max="1508" width="18.140625" customWidth="1"/>
    <col min="1509" max="1509" width="18.28515625" customWidth="1"/>
    <col min="1510" max="1510" width="18.42578125" customWidth="1"/>
    <col min="1511" max="1511" width="20.5703125" customWidth="1"/>
    <col min="1512" max="1512" width="17.7109375" customWidth="1"/>
    <col min="1513" max="1513" width="20.7109375" customWidth="1"/>
    <col min="1514" max="1514" width="24.5703125" customWidth="1"/>
    <col min="1515" max="1515" width="26.140625" customWidth="1"/>
    <col min="1516" max="1516" width="41.5703125" customWidth="1"/>
    <col min="1517" max="1517" width="11.42578125" customWidth="1"/>
    <col min="1518" max="1518" width="47.85546875" customWidth="1"/>
    <col min="1519" max="1748" width="11.42578125" customWidth="1"/>
    <col min="1749" max="1749" width="7.85546875" customWidth="1"/>
    <col min="1750" max="1750" width="1.5703125" customWidth="1"/>
    <col min="1751" max="1751" width="56" customWidth="1"/>
    <col min="1761" max="1761" width="7.85546875" customWidth="1"/>
    <col min="1762" max="1762" width="11.42578125" customWidth="1"/>
    <col min="1763" max="1763" width="53" customWidth="1"/>
    <col min="1764" max="1764" width="18.140625" customWidth="1"/>
    <col min="1765" max="1765" width="18.28515625" customWidth="1"/>
    <col min="1766" max="1766" width="18.42578125" customWidth="1"/>
    <col min="1767" max="1767" width="20.5703125" customWidth="1"/>
    <col min="1768" max="1768" width="17.7109375" customWidth="1"/>
    <col min="1769" max="1769" width="20.7109375" customWidth="1"/>
    <col min="1770" max="1770" width="24.5703125" customWidth="1"/>
    <col min="1771" max="1771" width="26.140625" customWidth="1"/>
    <col min="1772" max="1772" width="41.5703125" customWidth="1"/>
    <col min="1773" max="1773" width="11.42578125" customWidth="1"/>
    <col min="1774" max="1774" width="47.85546875" customWidth="1"/>
    <col min="1775" max="2004" width="11.42578125" customWidth="1"/>
    <col min="2005" max="2005" width="7.85546875" customWidth="1"/>
    <col min="2006" max="2006" width="1.5703125" customWidth="1"/>
    <col min="2007" max="2007" width="56" customWidth="1"/>
    <col min="2017" max="2017" width="7.85546875" customWidth="1"/>
    <col min="2018" max="2018" width="11.42578125" customWidth="1"/>
    <col min="2019" max="2019" width="53" customWidth="1"/>
    <col min="2020" max="2020" width="18.140625" customWidth="1"/>
    <col min="2021" max="2021" width="18.28515625" customWidth="1"/>
    <col min="2022" max="2022" width="18.42578125" customWidth="1"/>
    <col min="2023" max="2023" width="20.5703125" customWidth="1"/>
    <col min="2024" max="2024" width="17.7109375" customWidth="1"/>
    <col min="2025" max="2025" width="20.7109375" customWidth="1"/>
    <col min="2026" max="2026" width="24.5703125" customWidth="1"/>
    <col min="2027" max="2027" width="26.140625" customWidth="1"/>
    <col min="2028" max="2028" width="41.5703125" customWidth="1"/>
    <col min="2029" max="2029" width="11.42578125" customWidth="1"/>
    <col min="2030" max="2030" width="47.85546875" customWidth="1"/>
    <col min="2031" max="2260" width="11.42578125" customWidth="1"/>
    <col min="2261" max="2261" width="7.85546875" customWidth="1"/>
    <col min="2262" max="2262" width="1.5703125" customWidth="1"/>
    <col min="2263" max="2263" width="56" customWidth="1"/>
    <col min="2273" max="2273" width="7.85546875" customWidth="1"/>
    <col min="2274" max="2274" width="11.42578125" customWidth="1"/>
    <col min="2275" max="2275" width="53" customWidth="1"/>
    <col min="2276" max="2276" width="18.140625" customWidth="1"/>
    <col min="2277" max="2277" width="18.28515625" customWidth="1"/>
    <col min="2278" max="2278" width="18.42578125" customWidth="1"/>
    <col min="2279" max="2279" width="20.5703125" customWidth="1"/>
    <col min="2280" max="2280" width="17.7109375" customWidth="1"/>
    <col min="2281" max="2281" width="20.7109375" customWidth="1"/>
    <col min="2282" max="2282" width="24.5703125" customWidth="1"/>
    <col min="2283" max="2283" width="26.140625" customWidth="1"/>
    <col min="2284" max="2284" width="41.5703125" customWidth="1"/>
    <col min="2285" max="2285" width="11.42578125" customWidth="1"/>
    <col min="2286" max="2286" width="47.85546875" customWidth="1"/>
    <col min="2287" max="2516" width="11.42578125" customWidth="1"/>
    <col min="2517" max="2517" width="7.85546875" customWidth="1"/>
    <col min="2518" max="2518" width="1.5703125" customWidth="1"/>
    <col min="2519" max="2519" width="56" customWidth="1"/>
    <col min="2529" max="2529" width="7.85546875" customWidth="1"/>
    <col min="2530" max="2530" width="11.42578125" customWidth="1"/>
    <col min="2531" max="2531" width="53" customWidth="1"/>
    <col min="2532" max="2532" width="18.140625" customWidth="1"/>
    <col min="2533" max="2533" width="18.28515625" customWidth="1"/>
    <col min="2534" max="2534" width="18.42578125" customWidth="1"/>
    <col min="2535" max="2535" width="20.5703125" customWidth="1"/>
    <col min="2536" max="2536" width="17.7109375" customWidth="1"/>
    <col min="2537" max="2537" width="20.7109375" customWidth="1"/>
    <col min="2538" max="2538" width="24.5703125" customWidth="1"/>
    <col min="2539" max="2539" width="26.140625" customWidth="1"/>
    <col min="2540" max="2540" width="41.5703125" customWidth="1"/>
    <col min="2541" max="2541" width="11.42578125" customWidth="1"/>
    <col min="2542" max="2542" width="47.85546875" customWidth="1"/>
    <col min="2543" max="2772" width="11.42578125" customWidth="1"/>
    <col min="2773" max="2773" width="7.85546875" customWidth="1"/>
    <col min="2774" max="2774" width="1.5703125" customWidth="1"/>
    <col min="2775" max="2775" width="56" customWidth="1"/>
    <col min="2785" max="2785" width="7.85546875" customWidth="1"/>
    <col min="2786" max="2786" width="11.42578125" customWidth="1"/>
    <col min="2787" max="2787" width="53" customWidth="1"/>
    <col min="2788" max="2788" width="18.140625" customWidth="1"/>
    <col min="2789" max="2789" width="18.28515625" customWidth="1"/>
    <col min="2790" max="2790" width="18.42578125" customWidth="1"/>
    <col min="2791" max="2791" width="20.5703125" customWidth="1"/>
    <col min="2792" max="2792" width="17.7109375" customWidth="1"/>
    <col min="2793" max="2793" width="20.7109375" customWidth="1"/>
    <col min="2794" max="2794" width="24.5703125" customWidth="1"/>
    <col min="2795" max="2795" width="26.140625" customWidth="1"/>
    <col min="2796" max="2796" width="41.5703125" customWidth="1"/>
    <col min="2797" max="2797" width="11.42578125" customWidth="1"/>
    <col min="2798" max="2798" width="47.85546875" customWidth="1"/>
    <col min="2799" max="3028" width="11.42578125" customWidth="1"/>
    <col min="3029" max="3029" width="7.85546875" customWidth="1"/>
    <col min="3030" max="3030" width="1.5703125" customWidth="1"/>
    <col min="3031" max="3031" width="56" customWidth="1"/>
    <col min="3041" max="3041" width="7.85546875" customWidth="1"/>
    <col min="3042" max="3042" width="11.42578125" customWidth="1"/>
    <col min="3043" max="3043" width="53" customWidth="1"/>
    <col min="3044" max="3044" width="18.140625" customWidth="1"/>
    <col min="3045" max="3045" width="18.28515625" customWidth="1"/>
    <col min="3046" max="3046" width="18.42578125" customWidth="1"/>
    <col min="3047" max="3047" width="20.5703125" customWidth="1"/>
    <col min="3048" max="3048" width="17.7109375" customWidth="1"/>
    <col min="3049" max="3049" width="20.7109375" customWidth="1"/>
    <col min="3050" max="3050" width="24.5703125" customWidth="1"/>
    <col min="3051" max="3051" width="26.140625" customWidth="1"/>
    <col min="3052" max="3052" width="41.5703125" customWidth="1"/>
    <col min="3053" max="3053" width="11.42578125" customWidth="1"/>
    <col min="3054" max="3054" width="47.85546875" customWidth="1"/>
    <col min="3055" max="3284" width="11.42578125" customWidth="1"/>
    <col min="3285" max="3285" width="7.85546875" customWidth="1"/>
    <col min="3286" max="3286" width="1.5703125" customWidth="1"/>
    <col min="3287" max="3287" width="56" customWidth="1"/>
    <col min="3297" max="3297" width="7.85546875" customWidth="1"/>
    <col min="3298" max="3298" width="11.42578125" customWidth="1"/>
    <col min="3299" max="3299" width="53" customWidth="1"/>
    <col min="3300" max="3300" width="18.140625" customWidth="1"/>
    <col min="3301" max="3301" width="18.28515625" customWidth="1"/>
    <col min="3302" max="3302" width="18.42578125" customWidth="1"/>
    <col min="3303" max="3303" width="20.5703125" customWidth="1"/>
    <col min="3304" max="3304" width="17.7109375" customWidth="1"/>
    <col min="3305" max="3305" width="20.7109375" customWidth="1"/>
    <col min="3306" max="3306" width="24.5703125" customWidth="1"/>
    <col min="3307" max="3307" width="26.140625" customWidth="1"/>
    <col min="3308" max="3308" width="41.5703125" customWidth="1"/>
    <col min="3309" max="3309" width="11.42578125" customWidth="1"/>
    <col min="3310" max="3310" width="47.85546875" customWidth="1"/>
    <col min="3311" max="3540" width="11.42578125" customWidth="1"/>
    <col min="3541" max="3541" width="7.85546875" customWidth="1"/>
    <col min="3542" max="3542" width="1.5703125" customWidth="1"/>
    <col min="3543" max="3543" width="56" customWidth="1"/>
    <col min="3553" max="3553" width="7.85546875" customWidth="1"/>
    <col min="3554" max="3554" width="11.42578125" customWidth="1"/>
    <col min="3555" max="3555" width="53" customWidth="1"/>
    <col min="3556" max="3556" width="18.140625" customWidth="1"/>
    <col min="3557" max="3557" width="18.28515625" customWidth="1"/>
    <col min="3558" max="3558" width="18.42578125" customWidth="1"/>
    <col min="3559" max="3559" width="20.5703125" customWidth="1"/>
    <col min="3560" max="3560" width="17.7109375" customWidth="1"/>
    <col min="3561" max="3561" width="20.7109375" customWidth="1"/>
    <col min="3562" max="3562" width="24.5703125" customWidth="1"/>
    <col min="3563" max="3563" width="26.140625" customWidth="1"/>
    <col min="3564" max="3564" width="41.5703125" customWidth="1"/>
    <col min="3565" max="3565" width="11.42578125" customWidth="1"/>
    <col min="3566" max="3566" width="47.85546875" customWidth="1"/>
    <col min="3567" max="3796" width="11.42578125" customWidth="1"/>
    <col min="3797" max="3797" width="7.85546875" customWidth="1"/>
    <col min="3798" max="3798" width="1.5703125" customWidth="1"/>
    <col min="3799" max="3799" width="56" customWidth="1"/>
    <col min="3809" max="3809" width="7.85546875" customWidth="1"/>
    <col min="3810" max="3810" width="11.42578125" customWidth="1"/>
    <col min="3811" max="3811" width="53" customWidth="1"/>
    <col min="3812" max="3812" width="18.140625" customWidth="1"/>
    <col min="3813" max="3813" width="18.28515625" customWidth="1"/>
    <col min="3814" max="3814" width="18.42578125" customWidth="1"/>
    <col min="3815" max="3815" width="20.5703125" customWidth="1"/>
    <col min="3816" max="3816" width="17.7109375" customWidth="1"/>
    <col min="3817" max="3817" width="20.7109375" customWidth="1"/>
    <col min="3818" max="3818" width="24.5703125" customWidth="1"/>
    <col min="3819" max="3819" width="26.140625" customWidth="1"/>
    <col min="3820" max="3820" width="41.5703125" customWidth="1"/>
    <col min="3821" max="3821" width="11.42578125" customWidth="1"/>
    <col min="3822" max="3822" width="47.85546875" customWidth="1"/>
    <col min="3823" max="4052" width="11.42578125" customWidth="1"/>
    <col min="4053" max="4053" width="7.85546875" customWidth="1"/>
    <col min="4054" max="4054" width="1.5703125" customWidth="1"/>
    <col min="4055" max="4055" width="56" customWidth="1"/>
    <col min="4065" max="4065" width="7.85546875" customWidth="1"/>
    <col min="4066" max="4066" width="11.42578125" customWidth="1"/>
    <col min="4067" max="4067" width="53" customWidth="1"/>
    <col min="4068" max="4068" width="18.140625" customWidth="1"/>
    <col min="4069" max="4069" width="18.28515625" customWidth="1"/>
    <col min="4070" max="4070" width="18.42578125" customWidth="1"/>
    <col min="4071" max="4071" width="20.5703125" customWidth="1"/>
    <col min="4072" max="4072" width="17.7109375" customWidth="1"/>
    <col min="4073" max="4073" width="20.7109375" customWidth="1"/>
    <col min="4074" max="4074" width="24.5703125" customWidth="1"/>
    <col min="4075" max="4075" width="26.140625" customWidth="1"/>
    <col min="4076" max="4076" width="41.5703125" customWidth="1"/>
    <col min="4077" max="4077" width="11.42578125" customWidth="1"/>
    <col min="4078" max="4078" width="47.85546875" customWidth="1"/>
    <col min="4079" max="4308" width="11.42578125" customWidth="1"/>
    <col min="4309" max="4309" width="7.85546875" customWidth="1"/>
    <col min="4310" max="4310" width="1.5703125" customWidth="1"/>
    <col min="4311" max="4311" width="56" customWidth="1"/>
    <col min="4321" max="4321" width="7.85546875" customWidth="1"/>
    <col min="4322" max="4322" width="11.42578125" customWidth="1"/>
    <col min="4323" max="4323" width="53" customWidth="1"/>
    <col min="4324" max="4324" width="18.140625" customWidth="1"/>
    <col min="4325" max="4325" width="18.28515625" customWidth="1"/>
    <col min="4326" max="4326" width="18.42578125" customWidth="1"/>
    <col min="4327" max="4327" width="20.5703125" customWidth="1"/>
    <col min="4328" max="4328" width="17.7109375" customWidth="1"/>
    <col min="4329" max="4329" width="20.7109375" customWidth="1"/>
    <col min="4330" max="4330" width="24.5703125" customWidth="1"/>
    <col min="4331" max="4331" width="26.140625" customWidth="1"/>
    <col min="4332" max="4332" width="41.5703125" customWidth="1"/>
    <col min="4333" max="4333" width="11.42578125" customWidth="1"/>
    <col min="4334" max="4334" width="47.85546875" customWidth="1"/>
    <col min="4335" max="4564" width="11.42578125" customWidth="1"/>
    <col min="4565" max="4565" width="7.85546875" customWidth="1"/>
    <col min="4566" max="4566" width="1.5703125" customWidth="1"/>
    <col min="4567" max="4567" width="56" customWidth="1"/>
    <col min="4577" max="4577" width="7.85546875" customWidth="1"/>
    <col min="4578" max="4578" width="11.42578125" customWidth="1"/>
    <col min="4579" max="4579" width="53" customWidth="1"/>
    <col min="4580" max="4580" width="18.140625" customWidth="1"/>
    <col min="4581" max="4581" width="18.28515625" customWidth="1"/>
    <col min="4582" max="4582" width="18.42578125" customWidth="1"/>
    <col min="4583" max="4583" width="20.5703125" customWidth="1"/>
    <col min="4584" max="4584" width="17.7109375" customWidth="1"/>
    <col min="4585" max="4585" width="20.7109375" customWidth="1"/>
    <col min="4586" max="4586" width="24.5703125" customWidth="1"/>
    <col min="4587" max="4587" width="26.140625" customWidth="1"/>
    <col min="4588" max="4588" width="41.5703125" customWidth="1"/>
    <col min="4589" max="4589" width="11.42578125" customWidth="1"/>
    <col min="4590" max="4590" width="47.85546875" customWidth="1"/>
    <col min="4591" max="4820" width="11.42578125" customWidth="1"/>
    <col min="4821" max="4821" width="7.85546875" customWidth="1"/>
    <col min="4822" max="4822" width="1.5703125" customWidth="1"/>
    <col min="4823" max="4823" width="56" customWidth="1"/>
    <col min="4833" max="4833" width="7.85546875" customWidth="1"/>
    <col min="4834" max="4834" width="11.42578125" customWidth="1"/>
    <col min="4835" max="4835" width="53" customWidth="1"/>
    <col min="4836" max="4836" width="18.140625" customWidth="1"/>
    <col min="4837" max="4837" width="18.28515625" customWidth="1"/>
    <col min="4838" max="4838" width="18.42578125" customWidth="1"/>
    <col min="4839" max="4839" width="20.5703125" customWidth="1"/>
    <col min="4840" max="4840" width="17.7109375" customWidth="1"/>
    <col min="4841" max="4841" width="20.7109375" customWidth="1"/>
    <col min="4842" max="4842" width="24.5703125" customWidth="1"/>
    <col min="4843" max="4843" width="26.140625" customWidth="1"/>
    <col min="4844" max="4844" width="41.5703125" customWidth="1"/>
    <col min="4845" max="4845" width="11.42578125" customWidth="1"/>
    <col min="4846" max="4846" width="47.85546875" customWidth="1"/>
    <col min="4847" max="5076" width="11.42578125" customWidth="1"/>
    <col min="5077" max="5077" width="7.85546875" customWidth="1"/>
    <col min="5078" max="5078" width="1.5703125" customWidth="1"/>
    <col min="5079" max="5079" width="56" customWidth="1"/>
    <col min="5089" max="5089" width="7.85546875" customWidth="1"/>
    <col min="5090" max="5090" width="11.42578125" customWidth="1"/>
    <col min="5091" max="5091" width="53" customWidth="1"/>
    <col min="5092" max="5092" width="18.140625" customWidth="1"/>
    <col min="5093" max="5093" width="18.28515625" customWidth="1"/>
    <col min="5094" max="5094" width="18.42578125" customWidth="1"/>
    <col min="5095" max="5095" width="20.5703125" customWidth="1"/>
    <col min="5096" max="5096" width="17.7109375" customWidth="1"/>
    <col min="5097" max="5097" width="20.7109375" customWidth="1"/>
    <col min="5098" max="5098" width="24.5703125" customWidth="1"/>
    <col min="5099" max="5099" width="26.140625" customWidth="1"/>
    <col min="5100" max="5100" width="41.5703125" customWidth="1"/>
    <col min="5101" max="5101" width="11.42578125" customWidth="1"/>
    <col min="5102" max="5102" width="47.85546875" customWidth="1"/>
    <col min="5103" max="5332" width="11.42578125" customWidth="1"/>
    <col min="5333" max="5333" width="7.85546875" customWidth="1"/>
    <col min="5334" max="5334" width="1.5703125" customWidth="1"/>
    <col min="5335" max="5335" width="56" customWidth="1"/>
    <col min="5345" max="5345" width="7.85546875" customWidth="1"/>
    <col min="5346" max="5346" width="11.42578125" customWidth="1"/>
    <col min="5347" max="5347" width="53" customWidth="1"/>
    <col min="5348" max="5348" width="18.140625" customWidth="1"/>
    <col min="5349" max="5349" width="18.28515625" customWidth="1"/>
    <col min="5350" max="5350" width="18.42578125" customWidth="1"/>
    <col min="5351" max="5351" width="20.5703125" customWidth="1"/>
    <col min="5352" max="5352" width="17.7109375" customWidth="1"/>
    <col min="5353" max="5353" width="20.7109375" customWidth="1"/>
    <col min="5354" max="5354" width="24.5703125" customWidth="1"/>
    <col min="5355" max="5355" width="26.140625" customWidth="1"/>
    <col min="5356" max="5356" width="41.5703125" customWidth="1"/>
    <col min="5357" max="5357" width="11.42578125" customWidth="1"/>
    <col min="5358" max="5358" width="47.85546875" customWidth="1"/>
    <col min="5359" max="5588" width="11.42578125" customWidth="1"/>
    <col min="5589" max="5589" width="7.85546875" customWidth="1"/>
    <col min="5590" max="5590" width="1.5703125" customWidth="1"/>
    <col min="5591" max="5591" width="56" customWidth="1"/>
    <col min="5601" max="5601" width="7.85546875" customWidth="1"/>
    <col min="5602" max="5602" width="11.42578125" customWidth="1"/>
    <col min="5603" max="5603" width="53" customWidth="1"/>
    <col min="5604" max="5604" width="18.140625" customWidth="1"/>
    <col min="5605" max="5605" width="18.28515625" customWidth="1"/>
    <col min="5606" max="5606" width="18.42578125" customWidth="1"/>
    <col min="5607" max="5607" width="20.5703125" customWidth="1"/>
    <col min="5608" max="5608" width="17.7109375" customWidth="1"/>
    <col min="5609" max="5609" width="20.7109375" customWidth="1"/>
    <col min="5610" max="5610" width="24.5703125" customWidth="1"/>
    <col min="5611" max="5611" width="26.140625" customWidth="1"/>
    <col min="5612" max="5612" width="41.5703125" customWidth="1"/>
    <col min="5613" max="5613" width="11.42578125" customWidth="1"/>
    <col min="5614" max="5614" width="47.85546875" customWidth="1"/>
    <col min="5615" max="5844" width="11.42578125" customWidth="1"/>
    <col min="5845" max="5845" width="7.85546875" customWidth="1"/>
    <col min="5846" max="5846" width="1.5703125" customWidth="1"/>
    <col min="5847" max="5847" width="56" customWidth="1"/>
    <col min="5857" max="5857" width="7.85546875" customWidth="1"/>
    <col min="5858" max="5858" width="11.42578125" customWidth="1"/>
    <col min="5859" max="5859" width="53" customWidth="1"/>
    <col min="5860" max="5860" width="18.140625" customWidth="1"/>
    <col min="5861" max="5861" width="18.28515625" customWidth="1"/>
    <col min="5862" max="5862" width="18.42578125" customWidth="1"/>
    <col min="5863" max="5863" width="20.5703125" customWidth="1"/>
    <col min="5864" max="5864" width="17.7109375" customWidth="1"/>
    <col min="5865" max="5865" width="20.7109375" customWidth="1"/>
    <col min="5866" max="5866" width="24.5703125" customWidth="1"/>
    <col min="5867" max="5867" width="26.140625" customWidth="1"/>
    <col min="5868" max="5868" width="41.5703125" customWidth="1"/>
    <col min="5869" max="5869" width="11.42578125" customWidth="1"/>
    <col min="5870" max="5870" width="47.85546875" customWidth="1"/>
    <col min="5871" max="6100" width="11.42578125" customWidth="1"/>
    <col min="6101" max="6101" width="7.85546875" customWidth="1"/>
    <col min="6102" max="6102" width="1.5703125" customWidth="1"/>
    <col min="6103" max="6103" width="56" customWidth="1"/>
    <col min="6113" max="6113" width="7.85546875" customWidth="1"/>
    <col min="6114" max="6114" width="11.42578125" customWidth="1"/>
    <col min="6115" max="6115" width="53" customWidth="1"/>
    <col min="6116" max="6116" width="18.140625" customWidth="1"/>
    <col min="6117" max="6117" width="18.28515625" customWidth="1"/>
    <col min="6118" max="6118" width="18.42578125" customWidth="1"/>
    <col min="6119" max="6119" width="20.5703125" customWidth="1"/>
    <col min="6120" max="6120" width="17.7109375" customWidth="1"/>
    <col min="6121" max="6121" width="20.7109375" customWidth="1"/>
    <col min="6122" max="6122" width="24.5703125" customWidth="1"/>
    <col min="6123" max="6123" width="26.140625" customWidth="1"/>
    <col min="6124" max="6124" width="41.5703125" customWidth="1"/>
    <col min="6125" max="6125" width="11.42578125" customWidth="1"/>
    <col min="6126" max="6126" width="47.85546875" customWidth="1"/>
    <col min="6127" max="6356" width="11.42578125" customWidth="1"/>
    <col min="6357" max="6357" width="7.85546875" customWidth="1"/>
    <col min="6358" max="6358" width="1.5703125" customWidth="1"/>
    <col min="6359" max="6359" width="56" customWidth="1"/>
    <col min="6369" max="6369" width="7.85546875" customWidth="1"/>
    <col min="6370" max="6370" width="11.42578125" customWidth="1"/>
    <col min="6371" max="6371" width="53" customWidth="1"/>
    <col min="6372" max="6372" width="18.140625" customWidth="1"/>
    <col min="6373" max="6373" width="18.28515625" customWidth="1"/>
    <col min="6374" max="6374" width="18.42578125" customWidth="1"/>
    <col min="6375" max="6375" width="20.5703125" customWidth="1"/>
    <col min="6376" max="6376" width="17.7109375" customWidth="1"/>
    <col min="6377" max="6377" width="20.7109375" customWidth="1"/>
    <col min="6378" max="6378" width="24.5703125" customWidth="1"/>
    <col min="6379" max="6379" width="26.140625" customWidth="1"/>
    <col min="6380" max="6380" width="41.5703125" customWidth="1"/>
    <col min="6381" max="6381" width="11.42578125" customWidth="1"/>
    <col min="6382" max="6382" width="47.85546875" customWidth="1"/>
    <col min="6383" max="6612" width="11.42578125" customWidth="1"/>
    <col min="6613" max="6613" width="7.85546875" customWidth="1"/>
    <col min="6614" max="6614" width="1.5703125" customWidth="1"/>
    <col min="6615" max="6615" width="56" customWidth="1"/>
    <col min="6625" max="6625" width="7.85546875" customWidth="1"/>
    <col min="6626" max="6626" width="11.42578125" customWidth="1"/>
    <col min="6627" max="6627" width="53" customWidth="1"/>
    <col min="6628" max="6628" width="18.140625" customWidth="1"/>
    <col min="6629" max="6629" width="18.28515625" customWidth="1"/>
    <col min="6630" max="6630" width="18.42578125" customWidth="1"/>
    <col min="6631" max="6631" width="20.5703125" customWidth="1"/>
    <col min="6632" max="6632" width="17.7109375" customWidth="1"/>
    <col min="6633" max="6633" width="20.7109375" customWidth="1"/>
    <col min="6634" max="6634" width="24.5703125" customWidth="1"/>
    <col min="6635" max="6635" width="26.140625" customWidth="1"/>
    <col min="6636" max="6636" width="41.5703125" customWidth="1"/>
    <col min="6637" max="6637" width="11.42578125" customWidth="1"/>
    <col min="6638" max="6638" width="47.85546875" customWidth="1"/>
    <col min="6639" max="6868" width="11.42578125" customWidth="1"/>
    <col min="6869" max="6869" width="7.85546875" customWidth="1"/>
    <col min="6870" max="6870" width="1.5703125" customWidth="1"/>
    <col min="6871" max="6871" width="56" customWidth="1"/>
    <col min="6881" max="6881" width="7.85546875" customWidth="1"/>
    <col min="6882" max="6882" width="11.42578125" customWidth="1"/>
    <col min="6883" max="6883" width="53" customWidth="1"/>
    <col min="6884" max="6884" width="18.140625" customWidth="1"/>
    <col min="6885" max="6885" width="18.28515625" customWidth="1"/>
    <col min="6886" max="6886" width="18.42578125" customWidth="1"/>
    <col min="6887" max="6887" width="20.5703125" customWidth="1"/>
    <col min="6888" max="6888" width="17.7109375" customWidth="1"/>
    <col min="6889" max="6889" width="20.7109375" customWidth="1"/>
    <col min="6890" max="6890" width="24.5703125" customWidth="1"/>
    <col min="6891" max="6891" width="26.140625" customWidth="1"/>
    <col min="6892" max="6892" width="41.5703125" customWidth="1"/>
    <col min="6893" max="6893" width="11.42578125" customWidth="1"/>
    <col min="6894" max="6894" width="47.85546875" customWidth="1"/>
    <col min="6895" max="7124" width="11.42578125" customWidth="1"/>
    <col min="7125" max="7125" width="7.85546875" customWidth="1"/>
    <col min="7126" max="7126" width="1.5703125" customWidth="1"/>
    <col min="7127" max="7127" width="56" customWidth="1"/>
    <col min="7137" max="7137" width="7.85546875" customWidth="1"/>
    <col min="7138" max="7138" width="11.42578125" customWidth="1"/>
    <col min="7139" max="7139" width="53" customWidth="1"/>
    <col min="7140" max="7140" width="18.140625" customWidth="1"/>
    <col min="7141" max="7141" width="18.28515625" customWidth="1"/>
    <col min="7142" max="7142" width="18.42578125" customWidth="1"/>
    <col min="7143" max="7143" width="20.5703125" customWidth="1"/>
    <col min="7144" max="7144" width="17.7109375" customWidth="1"/>
    <col min="7145" max="7145" width="20.7109375" customWidth="1"/>
    <col min="7146" max="7146" width="24.5703125" customWidth="1"/>
    <col min="7147" max="7147" width="26.140625" customWidth="1"/>
    <col min="7148" max="7148" width="41.5703125" customWidth="1"/>
    <col min="7149" max="7149" width="11.42578125" customWidth="1"/>
    <col min="7150" max="7150" width="47.85546875" customWidth="1"/>
    <col min="7151" max="7380" width="11.42578125" customWidth="1"/>
    <col min="7381" max="7381" width="7.85546875" customWidth="1"/>
    <col min="7382" max="7382" width="1.5703125" customWidth="1"/>
    <col min="7383" max="7383" width="56" customWidth="1"/>
    <col min="7393" max="7393" width="7.85546875" customWidth="1"/>
    <col min="7394" max="7394" width="11.42578125" customWidth="1"/>
    <col min="7395" max="7395" width="53" customWidth="1"/>
    <col min="7396" max="7396" width="18.140625" customWidth="1"/>
    <col min="7397" max="7397" width="18.28515625" customWidth="1"/>
    <col min="7398" max="7398" width="18.42578125" customWidth="1"/>
    <col min="7399" max="7399" width="20.5703125" customWidth="1"/>
    <col min="7400" max="7400" width="17.7109375" customWidth="1"/>
    <col min="7401" max="7401" width="20.7109375" customWidth="1"/>
    <col min="7402" max="7402" width="24.5703125" customWidth="1"/>
    <col min="7403" max="7403" width="26.140625" customWidth="1"/>
    <col min="7404" max="7404" width="41.5703125" customWidth="1"/>
    <col min="7405" max="7405" width="11.42578125" customWidth="1"/>
    <col min="7406" max="7406" width="47.85546875" customWidth="1"/>
    <col min="7407" max="7636" width="11.42578125" customWidth="1"/>
    <col min="7637" max="7637" width="7.85546875" customWidth="1"/>
    <col min="7638" max="7638" width="1.5703125" customWidth="1"/>
    <col min="7639" max="7639" width="56" customWidth="1"/>
    <col min="7649" max="7649" width="7.85546875" customWidth="1"/>
    <col min="7650" max="7650" width="11.42578125" customWidth="1"/>
    <col min="7651" max="7651" width="53" customWidth="1"/>
    <col min="7652" max="7652" width="18.140625" customWidth="1"/>
    <col min="7653" max="7653" width="18.28515625" customWidth="1"/>
    <col min="7654" max="7654" width="18.42578125" customWidth="1"/>
    <col min="7655" max="7655" width="20.5703125" customWidth="1"/>
    <col min="7656" max="7656" width="17.7109375" customWidth="1"/>
    <col min="7657" max="7657" width="20.7109375" customWidth="1"/>
    <col min="7658" max="7658" width="24.5703125" customWidth="1"/>
    <col min="7659" max="7659" width="26.140625" customWidth="1"/>
    <col min="7660" max="7660" width="41.5703125" customWidth="1"/>
    <col min="7661" max="7661" width="11.42578125" customWidth="1"/>
    <col min="7662" max="7662" width="47.85546875" customWidth="1"/>
    <col min="7663" max="7892" width="11.42578125" customWidth="1"/>
    <col min="7893" max="7893" width="7.85546875" customWidth="1"/>
    <col min="7894" max="7894" width="1.5703125" customWidth="1"/>
    <col min="7895" max="7895" width="56" customWidth="1"/>
    <col min="7905" max="7905" width="7.85546875" customWidth="1"/>
    <col min="7906" max="7906" width="11.42578125" customWidth="1"/>
    <col min="7907" max="7907" width="53" customWidth="1"/>
    <col min="7908" max="7908" width="18.140625" customWidth="1"/>
    <col min="7909" max="7909" width="18.28515625" customWidth="1"/>
    <col min="7910" max="7910" width="18.42578125" customWidth="1"/>
    <col min="7911" max="7911" width="20.5703125" customWidth="1"/>
    <col min="7912" max="7912" width="17.7109375" customWidth="1"/>
    <col min="7913" max="7913" width="20.7109375" customWidth="1"/>
    <col min="7914" max="7914" width="24.5703125" customWidth="1"/>
    <col min="7915" max="7915" width="26.140625" customWidth="1"/>
    <col min="7916" max="7916" width="41.5703125" customWidth="1"/>
    <col min="7917" max="7917" width="11.42578125" customWidth="1"/>
    <col min="7918" max="7918" width="47.85546875" customWidth="1"/>
    <col min="7919" max="8148" width="11.42578125" customWidth="1"/>
    <col min="8149" max="8149" width="7.85546875" customWidth="1"/>
    <col min="8150" max="8150" width="1.5703125" customWidth="1"/>
    <col min="8151" max="8151" width="56" customWidth="1"/>
    <col min="8161" max="8161" width="7.85546875" customWidth="1"/>
    <col min="8162" max="8162" width="11.42578125" customWidth="1"/>
    <col min="8163" max="8163" width="53" customWidth="1"/>
    <col min="8164" max="8164" width="18.140625" customWidth="1"/>
    <col min="8165" max="8165" width="18.28515625" customWidth="1"/>
    <col min="8166" max="8166" width="18.42578125" customWidth="1"/>
    <col min="8167" max="8167" width="20.5703125" customWidth="1"/>
    <col min="8168" max="8168" width="17.7109375" customWidth="1"/>
    <col min="8169" max="8169" width="20.7109375" customWidth="1"/>
    <col min="8170" max="8170" width="24.5703125" customWidth="1"/>
    <col min="8171" max="8171" width="26.140625" customWidth="1"/>
    <col min="8172" max="8172" width="41.5703125" customWidth="1"/>
    <col min="8173" max="8173" width="11.42578125" customWidth="1"/>
    <col min="8174" max="8174" width="47.85546875" customWidth="1"/>
    <col min="8175" max="8404" width="11.42578125" customWidth="1"/>
    <col min="8405" max="8405" width="7.85546875" customWidth="1"/>
    <col min="8406" max="8406" width="1.5703125" customWidth="1"/>
    <col min="8407" max="8407" width="56" customWidth="1"/>
    <col min="8417" max="8417" width="7.85546875" customWidth="1"/>
    <col min="8418" max="8418" width="11.42578125" customWidth="1"/>
    <col min="8419" max="8419" width="53" customWidth="1"/>
    <col min="8420" max="8420" width="18.140625" customWidth="1"/>
    <col min="8421" max="8421" width="18.28515625" customWidth="1"/>
    <col min="8422" max="8422" width="18.42578125" customWidth="1"/>
    <col min="8423" max="8423" width="20.5703125" customWidth="1"/>
    <col min="8424" max="8424" width="17.7109375" customWidth="1"/>
    <col min="8425" max="8425" width="20.7109375" customWidth="1"/>
    <col min="8426" max="8426" width="24.5703125" customWidth="1"/>
    <col min="8427" max="8427" width="26.140625" customWidth="1"/>
    <col min="8428" max="8428" width="41.5703125" customWidth="1"/>
    <col min="8429" max="8429" width="11.42578125" customWidth="1"/>
    <col min="8430" max="8430" width="47.85546875" customWidth="1"/>
    <col min="8431" max="8660" width="11.42578125" customWidth="1"/>
    <col min="8661" max="8661" width="7.85546875" customWidth="1"/>
    <col min="8662" max="8662" width="1.5703125" customWidth="1"/>
    <col min="8663" max="8663" width="56" customWidth="1"/>
    <col min="8673" max="8673" width="7.85546875" customWidth="1"/>
    <col min="8674" max="8674" width="11.42578125" customWidth="1"/>
    <col min="8675" max="8675" width="53" customWidth="1"/>
    <col min="8676" max="8676" width="18.140625" customWidth="1"/>
    <col min="8677" max="8677" width="18.28515625" customWidth="1"/>
    <col min="8678" max="8678" width="18.42578125" customWidth="1"/>
    <col min="8679" max="8679" width="20.5703125" customWidth="1"/>
    <col min="8680" max="8680" width="17.7109375" customWidth="1"/>
    <col min="8681" max="8681" width="20.7109375" customWidth="1"/>
    <col min="8682" max="8682" width="24.5703125" customWidth="1"/>
    <col min="8683" max="8683" width="26.140625" customWidth="1"/>
    <col min="8684" max="8684" width="41.5703125" customWidth="1"/>
    <col min="8685" max="8685" width="11.42578125" customWidth="1"/>
    <col min="8686" max="8686" width="47.85546875" customWidth="1"/>
    <col min="8687" max="8916" width="11.42578125" customWidth="1"/>
    <col min="8917" max="8917" width="7.85546875" customWidth="1"/>
    <col min="8918" max="8918" width="1.5703125" customWidth="1"/>
    <col min="8919" max="8919" width="56" customWidth="1"/>
    <col min="8929" max="8929" width="7.85546875" customWidth="1"/>
    <col min="8930" max="8930" width="11.42578125" customWidth="1"/>
    <col min="8931" max="8931" width="53" customWidth="1"/>
    <col min="8932" max="8932" width="18.140625" customWidth="1"/>
    <col min="8933" max="8933" width="18.28515625" customWidth="1"/>
    <col min="8934" max="8934" width="18.42578125" customWidth="1"/>
    <col min="8935" max="8935" width="20.5703125" customWidth="1"/>
    <col min="8936" max="8936" width="17.7109375" customWidth="1"/>
    <col min="8937" max="8937" width="20.7109375" customWidth="1"/>
    <col min="8938" max="8938" width="24.5703125" customWidth="1"/>
    <col min="8939" max="8939" width="26.140625" customWidth="1"/>
    <col min="8940" max="8940" width="41.5703125" customWidth="1"/>
    <col min="8941" max="8941" width="11.42578125" customWidth="1"/>
    <col min="8942" max="8942" width="47.85546875" customWidth="1"/>
    <col min="8943" max="9172" width="11.42578125" customWidth="1"/>
    <col min="9173" max="9173" width="7.85546875" customWidth="1"/>
    <col min="9174" max="9174" width="1.5703125" customWidth="1"/>
    <col min="9175" max="9175" width="56" customWidth="1"/>
    <col min="9185" max="9185" width="7.85546875" customWidth="1"/>
    <col min="9186" max="9186" width="11.42578125" customWidth="1"/>
    <col min="9187" max="9187" width="53" customWidth="1"/>
    <col min="9188" max="9188" width="18.140625" customWidth="1"/>
    <col min="9189" max="9189" width="18.28515625" customWidth="1"/>
    <col min="9190" max="9190" width="18.42578125" customWidth="1"/>
    <col min="9191" max="9191" width="20.5703125" customWidth="1"/>
    <col min="9192" max="9192" width="17.7109375" customWidth="1"/>
    <col min="9193" max="9193" width="20.7109375" customWidth="1"/>
    <col min="9194" max="9194" width="24.5703125" customWidth="1"/>
    <col min="9195" max="9195" width="26.140625" customWidth="1"/>
    <col min="9196" max="9196" width="41.5703125" customWidth="1"/>
    <col min="9197" max="9197" width="11.42578125" customWidth="1"/>
    <col min="9198" max="9198" width="47.85546875" customWidth="1"/>
    <col min="9199" max="9428" width="11.42578125" customWidth="1"/>
    <col min="9429" max="9429" width="7.85546875" customWidth="1"/>
    <col min="9430" max="9430" width="1.5703125" customWidth="1"/>
    <col min="9431" max="9431" width="56" customWidth="1"/>
    <col min="9441" max="9441" width="7.85546875" customWidth="1"/>
    <col min="9442" max="9442" width="11.42578125" customWidth="1"/>
    <col min="9443" max="9443" width="53" customWidth="1"/>
    <col min="9444" max="9444" width="18.140625" customWidth="1"/>
    <col min="9445" max="9445" width="18.28515625" customWidth="1"/>
    <col min="9446" max="9446" width="18.42578125" customWidth="1"/>
    <col min="9447" max="9447" width="20.5703125" customWidth="1"/>
    <col min="9448" max="9448" width="17.7109375" customWidth="1"/>
    <col min="9449" max="9449" width="20.7109375" customWidth="1"/>
    <col min="9450" max="9450" width="24.5703125" customWidth="1"/>
    <col min="9451" max="9451" width="26.140625" customWidth="1"/>
    <col min="9452" max="9452" width="41.5703125" customWidth="1"/>
    <col min="9453" max="9453" width="11.42578125" customWidth="1"/>
    <col min="9454" max="9454" width="47.85546875" customWidth="1"/>
    <col min="9455" max="9684" width="11.42578125" customWidth="1"/>
    <col min="9685" max="9685" width="7.85546875" customWidth="1"/>
    <col min="9686" max="9686" width="1.5703125" customWidth="1"/>
    <col min="9687" max="9687" width="56" customWidth="1"/>
    <col min="9697" max="9697" width="7.85546875" customWidth="1"/>
    <col min="9698" max="9698" width="11.42578125" customWidth="1"/>
    <col min="9699" max="9699" width="53" customWidth="1"/>
    <col min="9700" max="9700" width="18.140625" customWidth="1"/>
    <col min="9701" max="9701" width="18.28515625" customWidth="1"/>
    <col min="9702" max="9702" width="18.42578125" customWidth="1"/>
    <col min="9703" max="9703" width="20.5703125" customWidth="1"/>
    <col min="9704" max="9704" width="17.7109375" customWidth="1"/>
    <col min="9705" max="9705" width="20.7109375" customWidth="1"/>
    <col min="9706" max="9706" width="24.5703125" customWidth="1"/>
    <col min="9707" max="9707" width="26.140625" customWidth="1"/>
    <col min="9708" max="9708" width="41.5703125" customWidth="1"/>
    <col min="9709" max="9709" width="11.42578125" customWidth="1"/>
    <col min="9710" max="9710" width="47.85546875" customWidth="1"/>
    <col min="9711" max="9940" width="11.42578125" customWidth="1"/>
    <col min="9941" max="9941" width="7.85546875" customWidth="1"/>
    <col min="9942" max="9942" width="1.5703125" customWidth="1"/>
    <col min="9943" max="9943" width="56" customWidth="1"/>
    <col min="9953" max="9953" width="7.85546875" customWidth="1"/>
    <col min="9954" max="9954" width="11.42578125" customWidth="1"/>
    <col min="9955" max="9955" width="53" customWidth="1"/>
    <col min="9956" max="9956" width="18.140625" customWidth="1"/>
    <col min="9957" max="9957" width="18.28515625" customWidth="1"/>
    <col min="9958" max="9958" width="18.42578125" customWidth="1"/>
    <col min="9959" max="9959" width="20.5703125" customWidth="1"/>
    <col min="9960" max="9960" width="17.7109375" customWidth="1"/>
    <col min="9961" max="9961" width="20.7109375" customWidth="1"/>
    <col min="9962" max="9962" width="24.5703125" customWidth="1"/>
    <col min="9963" max="9963" width="26.140625" customWidth="1"/>
    <col min="9964" max="9964" width="41.5703125" customWidth="1"/>
    <col min="9965" max="9965" width="11.42578125" customWidth="1"/>
    <col min="9966" max="9966" width="47.85546875" customWidth="1"/>
    <col min="9967" max="10196" width="11.42578125" customWidth="1"/>
    <col min="10197" max="10197" width="7.85546875" customWidth="1"/>
    <col min="10198" max="10198" width="1.5703125" customWidth="1"/>
    <col min="10199" max="10199" width="56" customWidth="1"/>
    <col min="10209" max="10209" width="7.85546875" customWidth="1"/>
    <col min="10210" max="10210" width="11.42578125" customWidth="1"/>
    <col min="10211" max="10211" width="53" customWidth="1"/>
    <col min="10212" max="10212" width="18.140625" customWidth="1"/>
    <col min="10213" max="10213" width="18.28515625" customWidth="1"/>
    <col min="10214" max="10214" width="18.42578125" customWidth="1"/>
    <col min="10215" max="10215" width="20.5703125" customWidth="1"/>
    <col min="10216" max="10216" width="17.7109375" customWidth="1"/>
    <col min="10217" max="10217" width="20.7109375" customWidth="1"/>
    <col min="10218" max="10218" width="24.5703125" customWidth="1"/>
    <col min="10219" max="10219" width="26.140625" customWidth="1"/>
    <col min="10220" max="10220" width="41.5703125" customWidth="1"/>
    <col min="10221" max="10221" width="11.42578125" customWidth="1"/>
    <col min="10222" max="10222" width="47.85546875" customWidth="1"/>
    <col min="10223" max="10452" width="11.42578125" customWidth="1"/>
    <col min="10453" max="10453" width="7.85546875" customWidth="1"/>
    <col min="10454" max="10454" width="1.5703125" customWidth="1"/>
    <col min="10455" max="10455" width="56" customWidth="1"/>
    <col min="10465" max="10465" width="7.85546875" customWidth="1"/>
    <col min="10466" max="10466" width="11.42578125" customWidth="1"/>
    <col min="10467" max="10467" width="53" customWidth="1"/>
    <col min="10468" max="10468" width="18.140625" customWidth="1"/>
    <col min="10469" max="10469" width="18.28515625" customWidth="1"/>
    <col min="10470" max="10470" width="18.42578125" customWidth="1"/>
    <col min="10471" max="10471" width="20.5703125" customWidth="1"/>
    <col min="10472" max="10472" width="17.7109375" customWidth="1"/>
    <col min="10473" max="10473" width="20.7109375" customWidth="1"/>
    <col min="10474" max="10474" width="24.5703125" customWidth="1"/>
    <col min="10475" max="10475" width="26.140625" customWidth="1"/>
    <col min="10476" max="10476" width="41.5703125" customWidth="1"/>
    <col min="10477" max="10477" width="11.42578125" customWidth="1"/>
    <col min="10478" max="10478" width="47.85546875" customWidth="1"/>
    <col min="10479" max="10708" width="11.42578125" customWidth="1"/>
    <col min="10709" max="10709" width="7.85546875" customWidth="1"/>
    <col min="10710" max="10710" width="1.5703125" customWidth="1"/>
    <col min="10711" max="10711" width="56" customWidth="1"/>
    <col min="10721" max="10721" width="7.85546875" customWidth="1"/>
    <col min="10722" max="10722" width="11.42578125" customWidth="1"/>
    <col min="10723" max="10723" width="53" customWidth="1"/>
    <col min="10724" max="10724" width="18.140625" customWidth="1"/>
    <col min="10725" max="10725" width="18.28515625" customWidth="1"/>
    <col min="10726" max="10726" width="18.42578125" customWidth="1"/>
    <col min="10727" max="10727" width="20.5703125" customWidth="1"/>
    <col min="10728" max="10728" width="17.7109375" customWidth="1"/>
    <col min="10729" max="10729" width="20.7109375" customWidth="1"/>
    <col min="10730" max="10730" width="24.5703125" customWidth="1"/>
    <col min="10731" max="10731" width="26.140625" customWidth="1"/>
    <col min="10732" max="10732" width="41.5703125" customWidth="1"/>
    <col min="10733" max="10733" width="11.42578125" customWidth="1"/>
    <col min="10734" max="10734" width="47.85546875" customWidth="1"/>
    <col min="10735" max="10964" width="11.42578125" customWidth="1"/>
    <col min="10965" max="10965" width="7.85546875" customWidth="1"/>
    <col min="10966" max="10966" width="1.5703125" customWidth="1"/>
    <col min="10967" max="10967" width="56" customWidth="1"/>
    <col min="10977" max="10977" width="7.85546875" customWidth="1"/>
    <col min="10978" max="10978" width="11.42578125" customWidth="1"/>
    <col min="10979" max="10979" width="53" customWidth="1"/>
    <col min="10980" max="10980" width="18.140625" customWidth="1"/>
    <col min="10981" max="10981" width="18.28515625" customWidth="1"/>
    <col min="10982" max="10982" width="18.42578125" customWidth="1"/>
    <col min="10983" max="10983" width="20.5703125" customWidth="1"/>
    <col min="10984" max="10984" width="17.7109375" customWidth="1"/>
    <col min="10985" max="10985" width="20.7109375" customWidth="1"/>
    <col min="10986" max="10986" width="24.5703125" customWidth="1"/>
    <col min="10987" max="10987" width="26.140625" customWidth="1"/>
    <col min="10988" max="10988" width="41.5703125" customWidth="1"/>
    <col min="10989" max="10989" width="11.42578125" customWidth="1"/>
    <col min="10990" max="10990" width="47.85546875" customWidth="1"/>
    <col min="10991" max="11220" width="11.42578125" customWidth="1"/>
    <col min="11221" max="11221" width="7.85546875" customWidth="1"/>
    <col min="11222" max="11222" width="1.5703125" customWidth="1"/>
    <col min="11223" max="11223" width="56" customWidth="1"/>
    <col min="11233" max="11233" width="7.85546875" customWidth="1"/>
    <col min="11234" max="11234" width="11.42578125" customWidth="1"/>
    <col min="11235" max="11235" width="53" customWidth="1"/>
    <col min="11236" max="11236" width="18.140625" customWidth="1"/>
    <col min="11237" max="11237" width="18.28515625" customWidth="1"/>
    <col min="11238" max="11238" width="18.42578125" customWidth="1"/>
    <col min="11239" max="11239" width="20.5703125" customWidth="1"/>
    <col min="11240" max="11240" width="17.7109375" customWidth="1"/>
    <col min="11241" max="11241" width="20.7109375" customWidth="1"/>
    <col min="11242" max="11242" width="24.5703125" customWidth="1"/>
    <col min="11243" max="11243" width="26.140625" customWidth="1"/>
    <col min="11244" max="11244" width="41.5703125" customWidth="1"/>
    <col min="11245" max="11245" width="11.42578125" customWidth="1"/>
    <col min="11246" max="11246" width="47.85546875" customWidth="1"/>
    <col min="11247" max="11476" width="11.42578125" customWidth="1"/>
    <col min="11477" max="11477" width="7.85546875" customWidth="1"/>
    <col min="11478" max="11478" width="1.5703125" customWidth="1"/>
    <col min="11479" max="11479" width="56" customWidth="1"/>
    <col min="11489" max="11489" width="7.85546875" customWidth="1"/>
    <col min="11490" max="11490" width="11.42578125" customWidth="1"/>
    <col min="11491" max="11491" width="53" customWidth="1"/>
    <col min="11492" max="11492" width="18.140625" customWidth="1"/>
    <col min="11493" max="11493" width="18.28515625" customWidth="1"/>
    <col min="11494" max="11494" width="18.42578125" customWidth="1"/>
    <col min="11495" max="11495" width="20.5703125" customWidth="1"/>
    <col min="11496" max="11496" width="17.7109375" customWidth="1"/>
    <col min="11497" max="11497" width="20.7109375" customWidth="1"/>
    <col min="11498" max="11498" width="24.5703125" customWidth="1"/>
    <col min="11499" max="11499" width="26.140625" customWidth="1"/>
    <col min="11500" max="11500" width="41.5703125" customWidth="1"/>
    <col min="11501" max="11501" width="11.42578125" customWidth="1"/>
    <col min="11502" max="11502" width="47.85546875" customWidth="1"/>
    <col min="11503" max="11732" width="11.42578125" customWidth="1"/>
    <col min="11733" max="11733" width="7.85546875" customWidth="1"/>
    <col min="11734" max="11734" width="1.5703125" customWidth="1"/>
    <col min="11735" max="11735" width="56" customWidth="1"/>
    <col min="11745" max="11745" width="7.85546875" customWidth="1"/>
    <col min="11746" max="11746" width="11.42578125" customWidth="1"/>
    <col min="11747" max="11747" width="53" customWidth="1"/>
    <col min="11748" max="11748" width="18.140625" customWidth="1"/>
    <col min="11749" max="11749" width="18.28515625" customWidth="1"/>
    <col min="11750" max="11750" width="18.42578125" customWidth="1"/>
    <col min="11751" max="11751" width="20.5703125" customWidth="1"/>
    <col min="11752" max="11752" width="17.7109375" customWidth="1"/>
    <col min="11753" max="11753" width="20.7109375" customWidth="1"/>
    <col min="11754" max="11754" width="24.5703125" customWidth="1"/>
    <col min="11755" max="11755" width="26.140625" customWidth="1"/>
    <col min="11756" max="11756" width="41.5703125" customWidth="1"/>
    <col min="11757" max="11757" width="11.42578125" customWidth="1"/>
    <col min="11758" max="11758" width="47.85546875" customWidth="1"/>
    <col min="11759" max="11988" width="11.42578125" customWidth="1"/>
    <col min="11989" max="11989" width="7.85546875" customWidth="1"/>
    <col min="11990" max="11990" width="1.5703125" customWidth="1"/>
    <col min="11991" max="11991" width="56" customWidth="1"/>
    <col min="12001" max="12001" width="7.85546875" customWidth="1"/>
    <col min="12002" max="12002" width="11.42578125" customWidth="1"/>
    <col min="12003" max="12003" width="53" customWidth="1"/>
    <col min="12004" max="12004" width="18.140625" customWidth="1"/>
    <col min="12005" max="12005" width="18.28515625" customWidth="1"/>
    <col min="12006" max="12006" width="18.42578125" customWidth="1"/>
    <col min="12007" max="12007" width="20.5703125" customWidth="1"/>
    <col min="12008" max="12008" width="17.7109375" customWidth="1"/>
    <col min="12009" max="12009" width="20.7109375" customWidth="1"/>
    <col min="12010" max="12010" width="24.5703125" customWidth="1"/>
    <col min="12011" max="12011" width="26.140625" customWidth="1"/>
    <col min="12012" max="12012" width="41.5703125" customWidth="1"/>
    <col min="12013" max="12013" width="11.42578125" customWidth="1"/>
    <col min="12014" max="12014" width="47.85546875" customWidth="1"/>
    <col min="12015" max="12244" width="11.42578125" customWidth="1"/>
    <col min="12245" max="12245" width="7.85546875" customWidth="1"/>
    <col min="12246" max="12246" width="1.5703125" customWidth="1"/>
    <col min="12247" max="12247" width="56" customWidth="1"/>
    <col min="12257" max="12257" width="7.85546875" customWidth="1"/>
    <col min="12258" max="12258" width="11.42578125" customWidth="1"/>
    <col min="12259" max="12259" width="53" customWidth="1"/>
    <col min="12260" max="12260" width="18.140625" customWidth="1"/>
    <col min="12261" max="12261" width="18.28515625" customWidth="1"/>
    <col min="12262" max="12262" width="18.42578125" customWidth="1"/>
    <col min="12263" max="12263" width="20.5703125" customWidth="1"/>
    <col min="12264" max="12264" width="17.7109375" customWidth="1"/>
    <col min="12265" max="12265" width="20.7109375" customWidth="1"/>
    <col min="12266" max="12266" width="24.5703125" customWidth="1"/>
    <col min="12267" max="12267" width="26.140625" customWidth="1"/>
    <col min="12268" max="12268" width="41.5703125" customWidth="1"/>
    <col min="12269" max="12269" width="11.42578125" customWidth="1"/>
    <col min="12270" max="12270" width="47.85546875" customWidth="1"/>
    <col min="12271" max="12500" width="11.42578125" customWidth="1"/>
    <col min="12501" max="12501" width="7.85546875" customWidth="1"/>
    <col min="12502" max="12502" width="1.5703125" customWidth="1"/>
    <col min="12503" max="12503" width="56" customWidth="1"/>
    <col min="12513" max="12513" width="7.85546875" customWidth="1"/>
    <col min="12514" max="12514" width="11.42578125" customWidth="1"/>
    <col min="12515" max="12515" width="53" customWidth="1"/>
    <col min="12516" max="12516" width="18.140625" customWidth="1"/>
    <col min="12517" max="12517" width="18.28515625" customWidth="1"/>
    <col min="12518" max="12518" width="18.42578125" customWidth="1"/>
    <col min="12519" max="12519" width="20.5703125" customWidth="1"/>
    <col min="12520" max="12520" width="17.7109375" customWidth="1"/>
    <col min="12521" max="12521" width="20.7109375" customWidth="1"/>
    <col min="12522" max="12522" width="24.5703125" customWidth="1"/>
    <col min="12523" max="12523" width="26.140625" customWidth="1"/>
    <col min="12524" max="12524" width="41.5703125" customWidth="1"/>
    <col min="12525" max="12525" width="11.42578125" customWidth="1"/>
    <col min="12526" max="12526" width="47.85546875" customWidth="1"/>
    <col min="12527" max="12756" width="11.42578125" customWidth="1"/>
    <col min="12757" max="12757" width="7.85546875" customWidth="1"/>
    <col min="12758" max="12758" width="1.5703125" customWidth="1"/>
    <col min="12759" max="12759" width="56" customWidth="1"/>
    <col min="12769" max="12769" width="7.85546875" customWidth="1"/>
    <col min="12770" max="12770" width="11.42578125" customWidth="1"/>
    <col min="12771" max="12771" width="53" customWidth="1"/>
    <col min="12772" max="12772" width="18.140625" customWidth="1"/>
    <col min="12773" max="12773" width="18.28515625" customWidth="1"/>
    <col min="12774" max="12774" width="18.42578125" customWidth="1"/>
    <col min="12775" max="12775" width="20.5703125" customWidth="1"/>
    <col min="12776" max="12776" width="17.7109375" customWidth="1"/>
    <col min="12777" max="12777" width="20.7109375" customWidth="1"/>
    <col min="12778" max="12778" width="24.5703125" customWidth="1"/>
    <col min="12779" max="12779" width="26.140625" customWidth="1"/>
    <col min="12780" max="12780" width="41.5703125" customWidth="1"/>
    <col min="12781" max="12781" width="11.42578125" customWidth="1"/>
    <col min="12782" max="12782" width="47.85546875" customWidth="1"/>
    <col min="12783" max="13012" width="11.42578125" customWidth="1"/>
    <col min="13013" max="13013" width="7.85546875" customWidth="1"/>
    <col min="13014" max="13014" width="1.5703125" customWidth="1"/>
    <col min="13015" max="13015" width="56" customWidth="1"/>
    <col min="13025" max="13025" width="7.85546875" customWidth="1"/>
    <col min="13026" max="13026" width="11.42578125" customWidth="1"/>
    <col min="13027" max="13027" width="53" customWidth="1"/>
    <col min="13028" max="13028" width="18.140625" customWidth="1"/>
    <col min="13029" max="13029" width="18.28515625" customWidth="1"/>
    <col min="13030" max="13030" width="18.42578125" customWidth="1"/>
    <col min="13031" max="13031" width="20.5703125" customWidth="1"/>
    <col min="13032" max="13032" width="17.7109375" customWidth="1"/>
    <col min="13033" max="13033" width="20.7109375" customWidth="1"/>
    <col min="13034" max="13034" width="24.5703125" customWidth="1"/>
    <col min="13035" max="13035" width="26.140625" customWidth="1"/>
    <col min="13036" max="13036" width="41.5703125" customWidth="1"/>
    <col min="13037" max="13037" width="11.42578125" customWidth="1"/>
    <col min="13038" max="13038" width="47.85546875" customWidth="1"/>
    <col min="13039" max="13268" width="11.42578125" customWidth="1"/>
    <col min="13269" max="13269" width="7.85546875" customWidth="1"/>
    <col min="13270" max="13270" width="1.5703125" customWidth="1"/>
    <col min="13271" max="13271" width="56" customWidth="1"/>
    <col min="13281" max="13281" width="7.85546875" customWidth="1"/>
    <col min="13282" max="13282" width="11.42578125" customWidth="1"/>
    <col min="13283" max="13283" width="53" customWidth="1"/>
    <col min="13284" max="13284" width="18.140625" customWidth="1"/>
    <col min="13285" max="13285" width="18.28515625" customWidth="1"/>
    <col min="13286" max="13286" width="18.42578125" customWidth="1"/>
    <col min="13287" max="13287" width="20.5703125" customWidth="1"/>
    <col min="13288" max="13288" width="17.7109375" customWidth="1"/>
    <col min="13289" max="13289" width="20.7109375" customWidth="1"/>
    <col min="13290" max="13290" width="24.5703125" customWidth="1"/>
    <col min="13291" max="13291" width="26.140625" customWidth="1"/>
    <col min="13292" max="13292" width="41.5703125" customWidth="1"/>
    <col min="13293" max="13293" width="11.42578125" customWidth="1"/>
    <col min="13294" max="13294" width="47.85546875" customWidth="1"/>
    <col min="13295" max="13524" width="11.42578125" customWidth="1"/>
    <col min="13525" max="13525" width="7.85546875" customWidth="1"/>
    <col min="13526" max="13526" width="1.5703125" customWidth="1"/>
    <col min="13527" max="13527" width="56" customWidth="1"/>
    <col min="13537" max="13537" width="7.85546875" customWidth="1"/>
    <col min="13538" max="13538" width="11.42578125" customWidth="1"/>
    <col min="13539" max="13539" width="53" customWidth="1"/>
    <col min="13540" max="13540" width="18.140625" customWidth="1"/>
    <col min="13541" max="13541" width="18.28515625" customWidth="1"/>
    <col min="13542" max="13542" width="18.42578125" customWidth="1"/>
    <col min="13543" max="13543" width="20.5703125" customWidth="1"/>
    <col min="13544" max="13544" width="17.7109375" customWidth="1"/>
    <col min="13545" max="13545" width="20.7109375" customWidth="1"/>
    <col min="13546" max="13546" width="24.5703125" customWidth="1"/>
    <col min="13547" max="13547" width="26.140625" customWidth="1"/>
    <col min="13548" max="13548" width="41.5703125" customWidth="1"/>
    <col min="13549" max="13549" width="11.42578125" customWidth="1"/>
    <col min="13550" max="13550" width="47.85546875" customWidth="1"/>
    <col min="13551" max="13780" width="11.42578125" customWidth="1"/>
    <col min="13781" max="13781" width="7.85546875" customWidth="1"/>
    <col min="13782" max="13782" width="1.5703125" customWidth="1"/>
    <col min="13783" max="13783" width="56" customWidth="1"/>
    <col min="13793" max="13793" width="7.85546875" customWidth="1"/>
    <col min="13794" max="13794" width="11.42578125" customWidth="1"/>
    <col min="13795" max="13795" width="53" customWidth="1"/>
    <col min="13796" max="13796" width="18.140625" customWidth="1"/>
    <col min="13797" max="13797" width="18.28515625" customWidth="1"/>
    <col min="13798" max="13798" width="18.42578125" customWidth="1"/>
    <col min="13799" max="13799" width="20.5703125" customWidth="1"/>
    <col min="13800" max="13800" width="17.7109375" customWidth="1"/>
    <col min="13801" max="13801" width="20.7109375" customWidth="1"/>
    <col min="13802" max="13802" width="24.5703125" customWidth="1"/>
    <col min="13803" max="13803" width="26.140625" customWidth="1"/>
    <col min="13804" max="13804" width="41.5703125" customWidth="1"/>
    <col min="13805" max="13805" width="11.42578125" customWidth="1"/>
    <col min="13806" max="13806" width="47.85546875" customWidth="1"/>
    <col min="13807" max="14036" width="11.42578125" customWidth="1"/>
    <col min="14037" max="14037" width="7.85546875" customWidth="1"/>
    <col min="14038" max="14038" width="1.5703125" customWidth="1"/>
    <col min="14039" max="14039" width="56" customWidth="1"/>
    <col min="14049" max="14049" width="7.85546875" customWidth="1"/>
    <col min="14050" max="14050" width="11.42578125" customWidth="1"/>
    <col min="14051" max="14051" width="53" customWidth="1"/>
    <col min="14052" max="14052" width="18.140625" customWidth="1"/>
    <col min="14053" max="14053" width="18.28515625" customWidth="1"/>
    <col min="14054" max="14054" width="18.42578125" customWidth="1"/>
    <col min="14055" max="14055" width="20.5703125" customWidth="1"/>
    <col min="14056" max="14056" width="17.7109375" customWidth="1"/>
    <col min="14057" max="14057" width="20.7109375" customWidth="1"/>
    <col min="14058" max="14058" width="24.5703125" customWidth="1"/>
    <col min="14059" max="14059" width="26.140625" customWidth="1"/>
    <col min="14060" max="14060" width="41.5703125" customWidth="1"/>
    <col min="14061" max="14061" width="11.42578125" customWidth="1"/>
    <col min="14062" max="14062" width="47.85546875" customWidth="1"/>
    <col min="14063" max="14292" width="11.42578125" customWidth="1"/>
    <col min="14293" max="14293" width="7.85546875" customWidth="1"/>
    <col min="14294" max="14294" width="1.5703125" customWidth="1"/>
    <col min="14295" max="14295" width="56" customWidth="1"/>
    <col min="14305" max="14305" width="7.85546875" customWidth="1"/>
    <col min="14306" max="14306" width="11.42578125" customWidth="1"/>
    <col min="14307" max="14307" width="53" customWidth="1"/>
    <col min="14308" max="14308" width="18.140625" customWidth="1"/>
    <col min="14309" max="14309" width="18.28515625" customWidth="1"/>
    <col min="14310" max="14310" width="18.42578125" customWidth="1"/>
    <col min="14311" max="14311" width="20.5703125" customWidth="1"/>
    <col min="14312" max="14312" width="17.7109375" customWidth="1"/>
    <col min="14313" max="14313" width="20.7109375" customWidth="1"/>
    <col min="14314" max="14314" width="24.5703125" customWidth="1"/>
    <col min="14315" max="14315" width="26.140625" customWidth="1"/>
    <col min="14316" max="14316" width="41.5703125" customWidth="1"/>
    <col min="14317" max="14317" width="11.42578125" customWidth="1"/>
    <col min="14318" max="14318" width="47.85546875" customWidth="1"/>
    <col min="14319" max="14548" width="11.42578125" customWidth="1"/>
    <col min="14549" max="14549" width="7.85546875" customWidth="1"/>
    <col min="14550" max="14550" width="1.5703125" customWidth="1"/>
    <col min="14551" max="14551" width="56" customWidth="1"/>
    <col min="14561" max="14561" width="7.85546875" customWidth="1"/>
    <col min="14562" max="14562" width="11.42578125" customWidth="1"/>
    <col min="14563" max="14563" width="53" customWidth="1"/>
    <col min="14564" max="14564" width="18.140625" customWidth="1"/>
    <col min="14565" max="14565" width="18.28515625" customWidth="1"/>
    <col min="14566" max="14566" width="18.42578125" customWidth="1"/>
    <col min="14567" max="14567" width="20.5703125" customWidth="1"/>
    <col min="14568" max="14568" width="17.7109375" customWidth="1"/>
    <col min="14569" max="14569" width="20.7109375" customWidth="1"/>
    <col min="14570" max="14570" width="24.5703125" customWidth="1"/>
    <col min="14571" max="14571" width="26.140625" customWidth="1"/>
    <col min="14572" max="14572" width="41.5703125" customWidth="1"/>
    <col min="14573" max="14573" width="11.42578125" customWidth="1"/>
    <col min="14574" max="14574" width="47.85546875" customWidth="1"/>
    <col min="14575" max="14804" width="11.42578125" customWidth="1"/>
    <col min="14805" max="14805" width="7.85546875" customWidth="1"/>
    <col min="14806" max="14806" width="1.5703125" customWidth="1"/>
    <col min="14807" max="14807" width="56" customWidth="1"/>
    <col min="14817" max="14817" width="7.85546875" customWidth="1"/>
    <col min="14818" max="14818" width="11.42578125" customWidth="1"/>
    <col min="14819" max="14819" width="53" customWidth="1"/>
    <col min="14820" max="14820" width="18.140625" customWidth="1"/>
    <col min="14821" max="14821" width="18.28515625" customWidth="1"/>
    <col min="14822" max="14822" width="18.42578125" customWidth="1"/>
    <col min="14823" max="14823" width="20.5703125" customWidth="1"/>
    <col min="14824" max="14824" width="17.7109375" customWidth="1"/>
    <col min="14825" max="14825" width="20.7109375" customWidth="1"/>
    <col min="14826" max="14826" width="24.5703125" customWidth="1"/>
    <col min="14827" max="14827" width="26.140625" customWidth="1"/>
    <col min="14828" max="14828" width="41.5703125" customWidth="1"/>
    <col min="14829" max="14829" width="11.42578125" customWidth="1"/>
    <col min="14830" max="14830" width="47.85546875" customWidth="1"/>
    <col min="14831" max="15060" width="11.42578125" customWidth="1"/>
    <col min="15061" max="15061" width="7.85546875" customWidth="1"/>
    <col min="15062" max="15062" width="1.5703125" customWidth="1"/>
    <col min="15063" max="15063" width="56" customWidth="1"/>
    <col min="15073" max="15073" width="7.85546875" customWidth="1"/>
    <col min="15074" max="15074" width="11.42578125" customWidth="1"/>
    <col min="15075" max="15075" width="53" customWidth="1"/>
    <col min="15076" max="15076" width="18.140625" customWidth="1"/>
    <col min="15077" max="15077" width="18.28515625" customWidth="1"/>
    <col min="15078" max="15078" width="18.42578125" customWidth="1"/>
    <col min="15079" max="15079" width="20.5703125" customWidth="1"/>
    <col min="15080" max="15080" width="17.7109375" customWidth="1"/>
    <col min="15081" max="15081" width="20.7109375" customWidth="1"/>
    <col min="15082" max="15082" width="24.5703125" customWidth="1"/>
    <col min="15083" max="15083" width="26.140625" customWidth="1"/>
    <col min="15084" max="15084" width="41.5703125" customWidth="1"/>
    <col min="15085" max="15085" width="11.42578125" customWidth="1"/>
    <col min="15086" max="15086" width="47.85546875" customWidth="1"/>
    <col min="15087" max="15316" width="11.42578125" customWidth="1"/>
    <col min="15317" max="15317" width="7.85546875" customWidth="1"/>
    <col min="15318" max="15318" width="1.5703125" customWidth="1"/>
    <col min="15319" max="15319" width="56" customWidth="1"/>
    <col min="15329" max="15329" width="7.85546875" customWidth="1"/>
    <col min="15330" max="15330" width="11.42578125" customWidth="1"/>
    <col min="15331" max="15331" width="53" customWidth="1"/>
    <col min="15332" max="15332" width="18.140625" customWidth="1"/>
    <col min="15333" max="15333" width="18.28515625" customWidth="1"/>
    <col min="15334" max="15334" width="18.42578125" customWidth="1"/>
    <col min="15335" max="15335" width="20.5703125" customWidth="1"/>
    <col min="15336" max="15336" width="17.7109375" customWidth="1"/>
    <col min="15337" max="15337" width="20.7109375" customWidth="1"/>
    <col min="15338" max="15338" width="24.5703125" customWidth="1"/>
    <col min="15339" max="15339" width="26.140625" customWidth="1"/>
    <col min="15340" max="15340" width="41.5703125" customWidth="1"/>
    <col min="15341" max="15341" width="11.42578125" customWidth="1"/>
    <col min="15342" max="15342" width="47.85546875" customWidth="1"/>
    <col min="15343" max="15572" width="11.42578125" customWidth="1"/>
    <col min="15573" max="15573" width="7.85546875" customWidth="1"/>
    <col min="15574" max="15574" width="1.5703125" customWidth="1"/>
    <col min="15575" max="15575" width="56" customWidth="1"/>
    <col min="15585" max="15585" width="7.85546875" customWidth="1"/>
    <col min="15586" max="15586" width="11.42578125" customWidth="1"/>
    <col min="15587" max="15587" width="53" customWidth="1"/>
    <col min="15588" max="15588" width="18.140625" customWidth="1"/>
    <col min="15589" max="15589" width="18.28515625" customWidth="1"/>
    <col min="15590" max="15590" width="18.42578125" customWidth="1"/>
    <col min="15591" max="15591" width="20.5703125" customWidth="1"/>
    <col min="15592" max="15592" width="17.7109375" customWidth="1"/>
    <col min="15593" max="15593" width="20.7109375" customWidth="1"/>
    <col min="15594" max="15594" width="24.5703125" customWidth="1"/>
    <col min="15595" max="15595" width="26.140625" customWidth="1"/>
    <col min="15596" max="15596" width="41.5703125" customWidth="1"/>
    <col min="15597" max="15597" width="11.42578125" customWidth="1"/>
    <col min="15598" max="15598" width="47.85546875" customWidth="1"/>
    <col min="15599" max="15828" width="11.42578125" customWidth="1"/>
    <col min="15829" max="15829" width="7.85546875" customWidth="1"/>
    <col min="15830" max="15830" width="1.5703125" customWidth="1"/>
    <col min="15831" max="15831" width="56" customWidth="1"/>
    <col min="15841" max="15841" width="7.85546875" customWidth="1"/>
    <col min="15842" max="15842" width="11.42578125" customWidth="1"/>
    <col min="15843" max="15843" width="53" customWidth="1"/>
    <col min="15844" max="15844" width="18.140625" customWidth="1"/>
    <col min="15845" max="15845" width="18.28515625" customWidth="1"/>
    <col min="15846" max="15846" width="18.42578125" customWidth="1"/>
    <col min="15847" max="15847" width="20.5703125" customWidth="1"/>
    <col min="15848" max="15848" width="17.7109375" customWidth="1"/>
    <col min="15849" max="15849" width="20.7109375" customWidth="1"/>
    <col min="15850" max="15850" width="24.5703125" customWidth="1"/>
    <col min="15851" max="15851" width="26.140625" customWidth="1"/>
    <col min="15852" max="15852" width="41.5703125" customWidth="1"/>
    <col min="15853" max="15853" width="11.42578125" customWidth="1"/>
    <col min="15854" max="15854" width="47.85546875" customWidth="1"/>
    <col min="15855" max="16084" width="11.42578125" customWidth="1"/>
    <col min="16085" max="16085" width="7.85546875" customWidth="1"/>
    <col min="16086" max="16086" width="1.5703125" customWidth="1"/>
    <col min="16087" max="16087" width="56" customWidth="1"/>
    <col min="16097" max="16097" width="7.85546875" customWidth="1"/>
    <col min="16098" max="16098" width="11.42578125" customWidth="1"/>
    <col min="16099" max="16099" width="53" customWidth="1"/>
    <col min="16100" max="16100" width="18.140625" customWidth="1"/>
    <col min="16101" max="16101" width="18.28515625" customWidth="1"/>
    <col min="16102" max="16102" width="18.42578125" customWidth="1"/>
    <col min="16103" max="16103" width="20.5703125" customWidth="1"/>
    <col min="16104" max="16104" width="17.7109375" customWidth="1"/>
    <col min="16105" max="16105" width="20.7109375" customWidth="1"/>
    <col min="16106" max="16106" width="24.5703125" customWidth="1"/>
    <col min="16107" max="16107" width="26.140625" customWidth="1"/>
    <col min="16108" max="16108" width="41.5703125" customWidth="1"/>
    <col min="16109" max="16109" width="11.42578125" customWidth="1"/>
    <col min="16110" max="16110" width="47.85546875" customWidth="1"/>
    <col min="16111" max="16340" width="11.42578125" customWidth="1"/>
    <col min="16341" max="16341" width="7.85546875" customWidth="1"/>
    <col min="16342" max="16384" width="1.5703125" customWidth="1"/>
  </cols>
  <sheetData>
    <row r="1" spans="1:8" ht="15.75">
      <c r="A1" s="316"/>
      <c r="B1" s="541" t="s">
        <v>29</v>
      </c>
      <c r="C1" s="316"/>
      <c r="D1" s="228"/>
    </row>
    <row r="2" spans="1:8" ht="22.5">
      <c r="A2" s="1004" t="s">
        <v>1568</v>
      </c>
      <c r="B2" s="1004"/>
      <c r="C2" s="1004"/>
      <c r="D2" s="1004"/>
      <c r="E2" s="1004"/>
      <c r="F2" s="1004"/>
    </row>
    <row r="3" spans="1:8" ht="25.5" customHeight="1">
      <c r="A3" s="1005" t="s">
        <v>1569</v>
      </c>
      <c r="B3" s="1005"/>
      <c r="C3" s="1005"/>
      <c r="D3" s="1005"/>
      <c r="E3" s="1005"/>
      <c r="F3" s="1005"/>
    </row>
    <row r="4" spans="1:8" ht="15.75">
      <c r="A4" s="12"/>
      <c r="B4" s="248"/>
      <c r="C4" s="5"/>
      <c r="D4" s="992"/>
    </row>
    <row r="5" spans="1:8" ht="26.25" customHeight="1">
      <c r="A5" s="12"/>
      <c r="B5" s="990"/>
      <c r="C5"/>
      <c r="D5" s="1001" t="s">
        <v>1576</v>
      </c>
      <c r="E5" s="1002"/>
      <c r="F5" s="996">
        <v>82884307.120000005</v>
      </c>
    </row>
    <row r="6" spans="1:8" ht="15.75">
      <c r="A6" s="12"/>
      <c r="B6" s="248"/>
      <c r="C6" s="5"/>
      <c r="D6" s="992"/>
    </row>
    <row r="7" spans="1:8" ht="15.75">
      <c r="A7" s="1007" t="s">
        <v>1</v>
      </c>
      <c r="B7" s="1007" t="s">
        <v>1570</v>
      </c>
      <c r="C7" s="1007" t="s">
        <v>1571</v>
      </c>
      <c r="D7" s="1001" t="s">
        <v>1572</v>
      </c>
      <c r="E7" s="1006"/>
      <c r="F7" s="1002"/>
      <c r="G7" s="999" t="s">
        <v>1574</v>
      </c>
      <c r="H7" s="999" t="s">
        <v>1575</v>
      </c>
    </row>
    <row r="8" spans="1:8" ht="36" customHeight="1">
      <c r="A8" s="1007"/>
      <c r="B8" s="1007"/>
      <c r="C8" s="1007"/>
      <c r="D8" s="999" t="s">
        <v>1572</v>
      </c>
      <c r="E8" s="995" t="s">
        <v>1573</v>
      </c>
      <c r="F8" s="995" t="s">
        <v>1574</v>
      </c>
      <c r="G8" s="1003"/>
      <c r="H8" s="1003"/>
    </row>
    <row r="9" spans="1:8" ht="15.75">
      <c r="A9" s="227"/>
      <c r="B9" s="228"/>
      <c r="C9" s="229"/>
      <c r="D9" s="1000"/>
    </row>
    <row r="10" spans="1:8" ht="58.5" customHeight="1">
      <c r="A10" s="89">
        <v>1</v>
      </c>
      <c r="B10" s="85" t="s">
        <v>1577</v>
      </c>
      <c r="C10" s="959">
        <v>1011129.3</v>
      </c>
      <c r="D10" s="873" t="s">
        <v>1736</v>
      </c>
      <c r="E10" s="873" t="s">
        <v>1838</v>
      </c>
      <c r="F10" s="873" t="s">
        <v>1839</v>
      </c>
      <c r="G10" s="873">
        <v>15</v>
      </c>
      <c r="H10" s="873">
        <v>75</v>
      </c>
    </row>
    <row r="11" spans="1:8" ht="58.5" customHeight="1">
      <c r="A11" s="89">
        <v>2</v>
      </c>
      <c r="B11" s="85" t="s">
        <v>1578</v>
      </c>
      <c r="C11" s="959">
        <v>646844.85</v>
      </c>
      <c r="D11" s="873" t="s">
        <v>1737</v>
      </c>
      <c r="E11" s="873" t="s">
        <v>1838</v>
      </c>
      <c r="F11" s="873" t="s">
        <v>1839</v>
      </c>
      <c r="G11" s="873">
        <v>10</v>
      </c>
      <c r="H11" s="873">
        <v>50</v>
      </c>
    </row>
    <row r="12" spans="1:8" ht="58.5" customHeight="1">
      <c r="A12" s="89">
        <v>3</v>
      </c>
      <c r="B12" s="85" t="s">
        <v>1579</v>
      </c>
      <c r="C12" s="959">
        <v>658621.37</v>
      </c>
      <c r="D12" s="873" t="s">
        <v>1738</v>
      </c>
      <c r="E12" s="873" t="s">
        <v>1838</v>
      </c>
      <c r="F12" s="873" t="s">
        <v>1839</v>
      </c>
      <c r="G12" s="873">
        <v>10</v>
      </c>
      <c r="H12" s="873">
        <v>53</v>
      </c>
    </row>
    <row r="13" spans="1:8" ht="58.5" customHeight="1">
      <c r="A13" s="89">
        <v>4</v>
      </c>
      <c r="B13" s="85" t="s">
        <v>1580</v>
      </c>
      <c r="C13" s="959">
        <v>837294.19</v>
      </c>
      <c r="D13" s="873" t="s">
        <v>1739</v>
      </c>
      <c r="E13" s="873" t="s">
        <v>1838</v>
      </c>
      <c r="F13" s="873" t="s">
        <v>1839</v>
      </c>
      <c r="G13" s="873">
        <v>13</v>
      </c>
      <c r="H13" s="873">
        <v>65</v>
      </c>
    </row>
    <row r="14" spans="1:8" ht="58.5" customHeight="1">
      <c r="A14" s="89">
        <v>5</v>
      </c>
      <c r="B14" s="874" t="s">
        <v>1581</v>
      </c>
      <c r="C14" s="959">
        <v>134817.24</v>
      </c>
      <c r="D14" s="875" t="s">
        <v>1740</v>
      </c>
      <c r="E14" s="873" t="s">
        <v>1838</v>
      </c>
      <c r="F14" s="873" t="s">
        <v>1839</v>
      </c>
      <c r="G14" s="873">
        <v>2</v>
      </c>
      <c r="H14" s="873">
        <v>10</v>
      </c>
    </row>
    <row r="15" spans="1:8" ht="58.5" customHeight="1">
      <c r="A15" s="89">
        <v>6</v>
      </c>
      <c r="B15" s="876" t="s">
        <v>1582</v>
      </c>
      <c r="C15" s="959">
        <v>202225.86</v>
      </c>
      <c r="D15" s="875" t="s">
        <v>1741</v>
      </c>
      <c r="E15" s="873" t="s">
        <v>1838</v>
      </c>
      <c r="F15" s="873" t="s">
        <v>1839</v>
      </c>
      <c r="G15" s="873">
        <v>3</v>
      </c>
      <c r="H15" s="873">
        <v>15</v>
      </c>
    </row>
    <row r="16" spans="1:8" ht="58.5" customHeight="1">
      <c r="A16" s="89">
        <v>7</v>
      </c>
      <c r="B16" s="874" t="s">
        <v>1583</v>
      </c>
      <c r="C16" s="959">
        <v>943975.34</v>
      </c>
      <c r="D16" s="875" t="s">
        <v>1742</v>
      </c>
      <c r="E16" s="873" t="s">
        <v>1838</v>
      </c>
      <c r="F16" s="873" t="s">
        <v>1839</v>
      </c>
      <c r="G16" s="873">
        <v>1</v>
      </c>
      <c r="H16" s="873">
        <v>110</v>
      </c>
    </row>
    <row r="17" spans="1:8" ht="58.5" customHeight="1">
      <c r="A17" s="89">
        <v>8</v>
      </c>
      <c r="B17" s="874" t="s">
        <v>1584</v>
      </c>
      <c r="C17" s="959">
        <v>1123632.46</v>
      </c>
      <c r="D17" s="875" t="s">
        <v>1737</v>
      </c>
      <c r="E17" s="873" t="s">
        <v>1838</v>
      </c>
      <c r="F17" s="873" t="s">
        <v>1839</v>
      </c>
      <c r="G17" s="873">
        <v>1</v>
      </c>
      <c r="H17" s="873">
        <v>265</v>
      </c>
    </row>
    <row r="18" spans="1:8" ht="58.5" customHeight="1">
      <c r="A18" s="89">
        <v>9</v>
      </c>
      <c r="B18" s="874" t="s">
        <v>1585</v>
      </c>
      <c r="C18" s="959">
        <v>820285.66</v>
      </c>
      <c r="D18" s="875" t="s">
        <v>1743</v>
      </c>
      <c r="E18" s="873" t="s">
        <v>1838</v>
      </c>
      <c r="F18" s="873" t="s">
        <v>1839</v>
      </c>
      <c r="G18" s="873">
        <v>12</v>
      </c>
      <c r="H18" s="873">
        <v>48</v>
      </c>
    </row>
    <row r="19" spans="1:8" s="989" customFormat="1" ht="58.5" customHeight="1">
      <c r="A19" s="89">
        <v>10</v>
      </c>
      <c r="B19" s="874" t="s">
        <v>1586</v>
      </c>
      <c r="C19" s="959">
        <v>820285.66</v>
      </c>
      <c r="D19" s="875" t="s">
        <v>1738</v>
      </c>
      <c r="E19" s="873" t="s">
        <v>1838</v>
      </c>
      <c r="F19" s="873" t="s">
        <v>1839</v>
      </c>
      <c r="G19" s="873">
        <v>12</v>
      </c>
      <c r="H19" s="873">
        <v>48</v>
      </c>
    </row>
    <row r="20" spans="1:8" ht="58.5" customHeight="1">
      <c r="A20" s="89">
        <v>11</v>
      </c>
      <c r="B20" s="874" t="s">
        <v>1587</v>
      </c>
      <c r="C20" s="959">
        <v>1350000</v>
      </c>
      <c r="D20" s="875" t="s">
        <v>1739</v>
      </c>
      <c r="E20" s="873" t="s">
        <v>1838</v>
      </c>
      <c r="F20" s="873" t="s">
        <v>1839</v>
      </c>
      <c r="G20" s="873">
        <v>1</v>
      </c>
      <c r="H20" s="873">
        <v>285</v>
      </c>
    </row>
    <row r="21" spans="1:8" ht="58.5" customHeight="1">
      <c r="A21" s="89">
        <v>12</v>
      </c>
      <c r="B21" s="874" t="s">
        <v>1588</v>
      </c>
      <c r="C21" s="959">
        <v>1608273.67</v>
      </c>
      <c r="D21" s="875" t="s">
        <v>1744</v>
      </c>
      <c r="E21" s="873" t="s">
        <v>1838</v>
      </c>
      <c r="F21" s="873" t="s">
        <v>1839</v>
      </c>
      <c r="G21" s="873">
        <v>24</v>
      </c>
      <c r="H21" s="873">
        <v>98</v>
      </c>
    </row>
    <row r="22" spans="1:8" ht="58.5" customHeight="1">
      <c r="A22" s="89">
        <v>13</v>
      </c>
      <c r="B22" s="874" t="s">
        <v>1589</v>
      </c>
      <c r="C22" s="959">
        <v>1653705.66</v>
      </c>
      <c r="D22" s="875" t="s">
        <v>1736</v>
      </c>
      <c r="E22" s="873" t="s">
        <v>1838</v>
      </c>
      <c r="F22" s="873" t="s">
        <v>1839</v>
      </c>
      <c r="G22" s="873">
        <v>24</v>
      </c>
      <c r="H22" s="873">
        <v>96</v>
      </c>
    </row>
    <row r="23" spans="1:8" ht="58.5" customHeight="1">
      <c r="A23" s="89">
        <v>14</v>
      </c>
      <c r="B23" s="874" t="s">
        <v>1590</v>
      </c>
      <c r="C23" s="959">
        <v>1608705.66</v>
      </c>
      <c r="D23" s="875" t="s">
        <v>1745</v>
      </c>
      <c r="E23" s="873" t="s">
        <v>1838</v>
      </c>
      <c r="F23" s="873" t="s">
        <v>1839</v>
      </c>
      <c r="G23" s="873">
        <v>24</v>
      </c>
      <c r="H23" s="873">
        <v>96</v>
      </c>
    </row>
    <row r="24" spans="1:8" ht="58.5" customHeight="1">
      <c r="A24" s="89">
        <v>15</v>
      </c>
      <c r="B24" s="874" t="s">
        <v>1591</v>
      </c>
      <c r="C24" s="959">
        <v>287616.21000000002</v>
      </c>
      <c r="D24" s="875" t="s">
        <v>1746</v>
      </c>
      <c r="E24" s="873" t="s">
        <v>1838</v>
      </c>
      <c r="F24" s="873" t="s">
        <v>1839</v>
      </c>
      <c r="G24" s="873">
        <v>1</v>
      </c>
      <c r="H24" s="873">
        <v>8600</v>
      </c>
    </row>
    <row r="25" spans="1:8" ht="58.5" customHeight="1">
      <c r="A25" s="89">
        <v>16</v>
      </c>
      <c r="B25" s="876" t="s">
        <v>1592</v>
      </c>
      <c r="C25" s="959">
        <v>711029.67</v>
      </c>
      <c r="D25" s="875" t="s">
        <v>1747</v>
      </c>
      <c r="E25" s="873" t="s">
        <v>1838</v>
      </c>
      <c r="F25" s="873" t="s">
        <v>1839</v>
      </c>
      <c r="G25" s="873">
        <v>1</v>
      </c>
      <c r="H25" s="873">
        <v>441</v>
      </c>
    </row>
    <row r="26" spans="1:8" ht="58.5" customHeight="1">
      <c r="A26" s="89">
        <v>17</v>
      </c>
      <c r="B26" s="876" t="s">
        <v>1593</v>
      </c>
      <c r="C26" s="959">
        <v>1211853.42</v>
      </c>
      <c r="D26" s="875" t="s">
        <v>1748</v>
      </c>
      <c r="E26" s="873" t="s">
        <v>1838</v>
      </c>
      <c r="F26" s="873" t="s">
        <v>1839</v>
      </c>
      <c r="G26" s="873">
        <v>1</v>
      </c>
      <c r="H26" s="873">
        <v>1936</v>
      </c>
    </row>
    <row r="27" spans="1:8" ht="58.5" customHeight="1">
      <c r="A27" s="89">
        <v>18</v>
      </c>
      <c r="B27" s="876" t="s">
        <v>1594</v>
      </c>
      <c r="C27" s="959">
        <v>1152211.99</v>
      </c>
      <c r="D27" s="875" t="s">
        <v>1749</v>
      </c>
      <c r="E27" s="873" t="s">
        <v>1838</v>
      </c>
      <c r="F27" s="873" t="s">
        <v>1839</v>
      </c>
      <c r="G27" s="873">
        <v>1</v>
      </c>
      <c r="H27" s="873">
        <v>2075</v>
      </c>
    </row>
    <row r="28" spans="1:8" ht="58.5" customHeight="1">
      <c r="A28" s="89">
        <v>19</v>
      </c>
      <c r="B28" s="876" t="s">
        <v>1595</v>
      </c>
      <c r="C28" s="959">
        <v>2740224.28</v>
      </c>
      <c r="D28" s="875" t="s">
        <v>1750</v>
      </c>
      <c r="E28" s="873" t="s">
        <v>1838</v>
      </c>
      <c r="F28" s="873" t="s">
        <v>1839</v>
      </c>
      <c r="G28" s="873">
        <v>1</v>
      </c>
      <c r="H28" s="873">
        <v>2993</v>
      </c>
    </row>
    <row r="29" spans="1:8" ht="58.5" customHeight="1">
      <c r="A29" s="89">
        <v>20</v>
      </c>
      <c r="B29" s="876" t="s">
        <v>1596</v>
      </c>
      <c r="C29" s="959">
        <v>2161603.41</v>
      </c>
      <c r="D29" s="875" t="s">
        <v>1739</v>
      </c>
      <c r="E29" s="873" t="s">
        <v>1838</v>
      </c>
      <c r="F29" s="873" t="s">
        <v>1839</v>
      </c>
      <c r="G29" s="873">
        <v>1</v>
      </c>
      <c r="H29" s="873">
        <v>5599</v>
      </c>
    </row>
    <row r="30" spans="1:8" ht="58.5" customHeight="1">
      <c r="A30" s="89">
        <v>21</v>
      </c>
      <c r="B30" s="876" t="s">
        <v>1597</v>
      </c>
      <c r="C30" s="959">
        <v>597021.92000000004</v>
      </c>
      <c r="D30" s="875" t="s">
        <v>1737</v>
      </c>
      <c r="E30" s="873" t="s">
        <v>1838</v>
      </c>
      <c r="F30" s="873" t="s">
        <v>1839</v>
      </c>
      <c r="G30" s="873">
        <v>1</v>
      </c>
      <c r="H30" s="873">
        <v>32</v>
      </c>
    </row>
    <row r="31" spans="1:8" ht="58.5" customHeight="1">
      <c r="A31" s="89">
        <v>22</v>
      </c>
      <c r="B31" s="876" t="s">
        <v>1598</v>
      </c>
      <c r="C31" s="959">
        <v>511405.25</v>
      </c>
      <c r="D31" s="875" t="s">
        <v>1744</v>
      </c>
      <c r="E31" s="873" t="s">
        <v>1838</v>
      </c>
      <c r="F31" s="873" t="s">
        <v>1839</v>
      </c>
      <c r="G31" s="873">
        <v>1</v>
      </c>
      <c r="H31" s="873">
        <v>36</v>
      </c>
    </row>
    <row r="32" spans="1:8" ht="58.5" customHeight="1">
      <c r="A32" s="89">
        <v>23</v>
      </c>
      <c r="B32" s="876" t="s">
        <v>1599</v>
      </c>
      <c r="C32" s="959">
        <v>304122.09999999998</v>
      </c>
      <c r="D32" s="875" t="s">
        <v>1751</v>
      </c>
      <c r="E32" s="873" t="s">
        <v>1838</v>
      </c>
      <c r="F32" s="873" t="s">
        <v>1839</v>
      </c>
      <c r="G32" s="873">
        <v>1</v>
      </c>
      <c r="H32" s="873">
        <v>36</v>
      </c>
    </row>
    <row r="33" spans="1:8" ht="58.5" customHeight="1">
      <c r="A33" s="89">
        <v>24</v>
      </c>
      <c r="B33" s="881" t="s">
        <v>1600</v>
      </c>
      <c r="C33" s="959">
        <v>362790.61</v>
      </c>
      <c r="D33" s="875" t="s">
        <v>1740</v>
      </c>
      <c r="E33" s="873" t="s">
        <v>1838</v>
      </c>
      <c r="F33" s="873" t="s">
        <v>1839</v>
      </c>
      <c r="G33" s="873">
        <v>1</v>
      </c>
      <c r="H33" s="873">
        <v>45</v>
      </c>
    </row>
    <row r="34" spans="1:8" ht="58.5" customHeight="1">
      <c r="A34" s="89">
        <v>25</v>
      </c>
      <c r="B34" s="876" t="s">
        <v>1601</v>
      </c>
      <c r="C34" s="959">
        <v>243578.11</v>
      </c>
      <c r="D34" s="875" t="s">
        <v>1749</v>
      </c>
      <c r="E34" s="873" t="s">
        <v>1838</v>
      </c>
      <c r="F34" s="873" t="s">
        <v>1839</v>
      </c>
      <c r="G34" s="873">
        <v>1</v>
      </c>
      <c r="H34" s="873">
        <v>14</v>
      </c>
    </row>
    <row r="35" spans="1:8" ht="58.5" customHeight="1">
      <c r="A35" s="89">
        <v>26</v>
      </c>
      <c r="B35" s="876" t="s">
        <v>1602</v>
      </c>
      <c r="C35" s="959">
        <v>554099.17000000004</v>
      </c>
      <c r="D35" s="875" t="s">
        <v>1752</v>
      </c>
      <c r="E35" s="873" t="s">
        <v>1838</v>
      </c>
      <c r="F35" s="873" t="s">
        <v>1839</v>
      </c>
      <c r="G35" s="873">
        <v>1</v>
      </c>
      <c r="H35" s="873">
        <v>54</v>
      </c>
    </row>
    <row r="36" spans="1:8" ht="58.5" customHeight="1">
      <c r="A36" s="89">
        <v>27</v>
      </c>
      <c r="B36" s="881" t="s">
        <v>1603</v>
      </c>
      <c r="C36" s="959">
        <v>467467.94</v>
      </c>
      <c r="D36" s="875" t="s">
        <v>1739</v>
      </c>
      <c r="E36" s="873" t="s">
        <v>1838</v>
      </c>
      <c r="F36" s="873" t="s">
        <v>1839</v>
      </c>
      <c r="G36" s="873">
        <v>1</v>
      </c>
      <c r="H36" s="873">
        <v>72</v>
      </c>
    </row>
    <row r="37" spans="1:8" ht="58.5" customHeight="1">
      <c r="A37" s="89">
        <v>28</v>
      </c>
      <c r="B37" s="876" t="s">
        <v>1604</v>
      </c>
      <c r="C37" s="959">
        <v>139551.48000000001</v>
      </c>
      <c r="D37" s="875" t="s">
        <v>1753</v>
      </c>
      <c r="E37" s="873" t="s">
        <v>1838</v>
      </c>
      <c r="F37" s="873" t="s">
        <v>1839</v>
      </c>
      <c r="G37" s="873">
        <v>1</v>
      </c>
      <c r="H37" s="873">
        <v>30</v>
      </c>
    </row>
    <row r="38" spans="1:8" ht="58.5" customHeight="1">
      <c r="A38" s="89">
        <v>29</v>
      </c>
      <c r="B38" s="876" t="s">
        <v>1605</v>
      </c>
      <c r="C38" s="881">
        <v>116590.06</v>
      </c>
      <c r="D38" s="875" t="s">
        <v>1754</v>
      </c>
      <c r="E38" s="873" t="s">
        <v>1838</v>
      </c>
      <c r="F38" s="873" t="s">
        <v>1839</v>
      </c>
      <c r="G38" s="873">
        <v>1</v>
      </c>
      <c r="H38" s="873">
        <v>45</v>
      </c>
    </row>
    <row r="39" spans="1:8" ht="58.5" customHeight="1">
      <c r="A39" s="89">
        <v>30</v>
      </c>
      <c r="B39" s="94" t="s">
        <v>1606</v>
      </c>
      <c r="C39" s="959">
        <v>130362.93</v>
      </c>
      <c r="D39" s="993" t="s">
        <v>1754</v>
      </c>
      <c r="E39" s="873" t="s">
        <v>1838</v>
      </c>
      <c r="F39" s="873" t="s">
        <v>1839</v>
      </c>
      <c r="G39" s="873">
        <v>1</v>
      </c>
      <c r="H39" s="873">
        <v>45</v>
      </c>
    </row>
    <row r="40" spans="1:8" ht="58.5" customHeight="1">
      <c r="A40" s="89">
        <v>31</v>
      </c>
      <c r="B40" s="91" t="s">
        <v>1607</v>
      </c>
      <c r="C40" s="959">
        <v>176548.93</v>
      </c>
      <c r="D40" s="993" t="s">
        <v>1754</v>
      </c>
      <c r="E40" s="873" t="s">
        <v>1838</v>
      </c>
      <c r="F40" s="873" t="s">
        <v>1839</v>
      </c>
      <c r="G40" s="873">
        <v>1</v>
      </c>
      <c r="H40" s="873">
        <v>25</v>
      </c>
    </row>
    <row r="41" spans="1:8" ht="58.5" customHeight="1">
      <c r="A41" s="89">
        <v>32</v>
      </c>
      <c r="B41" s="91" t="s">
        <v>1608</v>
      </c>
      <c r="C41" s="959">
        <v>80387.839999999997</v>
      </c>
      <c r="D41" s="993" t="s">
        <v>1755</v>
      </c>
      <c r="E41" s="873" t="s">
        <v>1838</v>
      </c>
      <c r="F41" s="873" t="s">
        <v>1839</v>
      </c>
      <c r="G41" s="873">
        <v>1</v>
      </c>
      <c r="H41" s="873">
        <v>30</v>
      </c>
    </row>
    <row r="42" spans="1:8" ht="58.5" customHeight="1">
      <c r="A42" s="89">
        <v>33</v>
      </c>
      <c r="B42" s="91" t="s">
        <v>1609</v>
      </c>
      <c r="C42" s="959">
        <v>475550.24</v>
      </c>
      <c r="D42" s="993" t="s">
        <v>1756</v>
      </c>
      <c r="E42" s="873" t="s">
        <v>1838</v>
      </c>
      <c r="F42" s="873" t="s">
        <v>1839</v>
      </c>
      <c r="G42" s="873">
        <v>1</v>
      </c>
      <c r="H42" s="873">
        <v>28</v>
      </c>
    </row>
    <row r="43" spans="1:8" ht="58.5" customHeight="1">
      <c r="A43" s="89">
        <v>34</v>
      </c>
      <c r="B43" s="91" t="s">
        <v>1610</v>
      </c>
      <c r="C43" s="959">
        <v>191471.75</v>
      </c>
      <c r="D43" s="994" t="s">
        <v>1756</v>
      </c>
      <c r="E43" s="873" t="s">
        <v>1838</v>
      </c>
      <c r="F43" s="873" t="s">
        <v>1839</v>
      </c>
      <c r="G43" s="873">
        <v>1</v>
      </c>
      <c r="H43" s="873">
        <v>20</v>
      </c>
    </row>
    <row r="44" spans="1:8" ht="58.5" customHeight="1">
      <c r="A44" s="89">
        <v>35</v>
      </c>
      <c r="B44" s="94" t="s">
        <v>1611</v>
      </c>
      <c r="C44" s="959">
        <v>157459.73000000001</v>
      </c>
      <c r="D44" s="994" t="s">
        <v>1757</v>
      </c>
      <c r="E44" s="873" t="s">
        <v>1838</v>
      </c>
      <c r="F44" s="873" t="s">
        <v>1839</v>
      </c>
      <c r="G44" s="873">
        <v>1</v>
      </c>
      <c r="H44" s="873">
        <v>20</v>
      </c>
    </row>
    <row r="45" spans="1:8" ht="58.5" customHeight="1">
      <c r="A45" s="89">
        <v>36</v>
      </c>
      <c r="B45" s="94" t="s">
        <v>1612</v>
      </c>
      <c r="C45" s="959">
        <v>4007.32</v>
      </c>
      <c r="D45" s="993" t="s">
        <v>1757</v>
      </c>
      <c r="E45" s="873" t="s">
        <v>1838</v>
      </c>
      <c r="F45" s="873" t="s">
        <v>1839</v>
      </c>
      <c r="G45" s="873">
        <v>1</v>
      </c>
      <c r="H45" s="873">
        <v>20</v>
      </c>
    </row>
    <row r="46" spans="1:8" ht="58.5" customHeight="1">
      <c r="A46" s="89">
        <v>37</v>
      </c>
      <c r="B46" s="94" t="s">
        <v>1602</v>
      </c>
      <c r="C46" s="959">
        <v>189742.37</v>
      </c>
      <c r="D46" s="993" t="s">
        <v>1757</v>
      </c>
      <c r="E46" s="873" t="s">
        <v>1838</v>
      </c>
      <c r="F46" s="873" t="s">
        <v>1839</v>
      </c>
      <c r="G46" s="873">
        <v>1</v>
      </c>
      <c r="H46" s="873">
        <v>25</v>
      </c>
    </row>
    <row r="47" spans="1:8" ht="58.5" customHeight="1">
      <c r="A47" s="89">
        <v>38</v>
      </c>
      <c r="B47" s="94" t="s">
        <v>1613</v>
      </c>
      <c r="C47" s="959">
        <v>113297.62</v>
      </c>
      <c r="D47" s="994" t="s">
        <v>1758</v>
      </c>
      <c r="E47" s="873" t="s">
        <v>1838</v>
      </c>
      <c r="F47" s="873" t="s">
        <v>1839</v>
      </c>
      <c r="G47" s="873">
        <v>1</v>
      </c>
      <c r="H47" s="873">
        <v>20</v>
      </c>
    </row>
    <row r="48" spans="1:8" ht="58.5" customHeight="1">
      <c r="A48" s="89">
        <v>39</v>
      </c>
      <c r="B48" s="94" t="s">
        <v>1614</v>
      </c>
      <c r="C48" s="959">
        <v>138725.68</v>
      </c>
      <c r="D48" s="994" t="s">
        <v>1758</v>
      </c>
      <c r="E48" s="873" t="s">
        <v>1838</v>
      </c>
      <c r="F48" s="873" t="s">
        <v>1839</v>
      </c>
      <c r="G48" s="873">
        <v>1</v>
      </c>
      <c r="H48" s="873">
        <v>30</v>
      </c>
    </row>
    <row r="49" spans="1:8" ht="58.5" customHeight="1">
      <c r="A49" s="89">
        <v>40</v>
      </c>
      <c r="B49" s="94" t="s">
        <v>1615</v>
      </c>
      <c r="C49" s="959">
        <v>902645.85</v>
      </c>
      <c r="D49" s="994" t="s">
        <v>1759</v>
      </c>
      <c r="E49" s="873" t="s">
        <v>1838</v>
      </c>
      <c r="F49" s="873" t="s">
        <v>1839</v>
      </c>
      <c r="G49" s="873">
        <v>1</v>
      </c>
      <c r="H49" s="873">
        <v>64</v>
      </c>
    </row>
    <row r="50" spans="1:8" ht="58.5" customHeight="1">
      <c r="A50" s="89">
        <v>41</v>
      </c>
      <c r="B50" s="94" t="s">
        <v>1616</v>
      </c>
      <c r="C50" s="959">
        <v>686926.15</v>
      </c>
      <c r="D50" s="994" t="s">
        <v>1760</v>
      </c>
      <c r="E50" s="873" t="s">
        <v>1838</v>
      </c>
      <c r="F50" s="873" t="s">
        <v>1839</v>
      </c>
      <c r="G50" s="873">
        <v>1</v>
      </c>
      <c r="H50" s="873">
        <v>51</v>
      </c>
    </row>
    <row r="51" spans="1:8" ht="58.5" customHeight="1">
      <c r="A51" s="89">
        <v>42</v>
      </c>
      <c r="B51" s="94" t="s">
        <v>1617</v>
      </c>
      <c r="C51" s="959">
        <v>540970.36</v>
      </c>
      <c r="D51" s="994" t="s">
        <v>1761</v>
      </c>
      <c r="E51" s="873" t="s">
        <v>1838</v>
      </c>
      <c r="F51" s="873" t="s">
        <v>1839</v>
      </c>
      <c r="G51" s="873">
        <v>1</v>
      </c>
      <c r="H51" s="873">
        <v>24</v>
      </c>
    </row>
    <row r="52" spans="1:8" ht="58.5" customHeight="1">
      <c r="A52" s="89">
        <v>43</v>
      </c>
      <c r="B52" s="91" t="s">
        <v>1618</v>
      </c>
      <c r="C52" s="959">
        <v>110734.19</v>
      </c>
      <c r="D52" s="994" t="s">
        <v>1762</v>
      </c>
      <c r="E52" s="873" t="s">
        <v>1838</v>
      </c>
      <c r="F52" s="873" t="s">
        <v>1839</v>
      </c>
      <c r="G52" s="873">
        <v>1</v>
      </c>
      <c r="H52" s="873">
        <v>30</v>
      </c>
    </row>
    <row r="53" spans="1:8" ht="58.5" customHeight="1">
      <c r="A53" s="89">
        <v>44</v>
      </c>
      <c r="B53" s="91" t="s">
        <v>1619</v>
      </c>
      <c r="C53" s="959">
        <v>167019.22</v>
      </c>
      <c r="D53" s="994" t="s">
        <v>1763</v>
      </c>
      <c r="E53" s="873" t="s">
        <v>1838</v>
      </c>
      <c r="F53" s="873" t="s">
        <v>1839</v>
      </c>
      <c r="G53" s="873">
        <v>1</v>
      </c>
      <c r="H53" s="873">
        <v>55</v>
      </c>
    </row>
    <row r="54" spans="1:8" ht="58.5" customHeight="1">
      <c r="A54" s="89">
        <v>45</v>
      </c>
      <c r="B54" s="91" t="s">
        <v>1620</v>
      </c>
      <c r="C54" s="959">
        <v>198827.04</v>
      </c>
      <c r="D54" s="854" t="s">
        <v>1748</v>
      </c>
      <c r="E54" s="873" t="s">
        <v>1838</v>
      </c>
      <c r="F54" s="873" t="s">
        <v>1839</v>
      </c>
      <c r="G54" s="873">
        <v>1</v>
      </c>
      <c r="H54" s="873">
        <v>75</v>
      </c>
    </row>
    <row r="55" spans="1:8" ht="58.5" customHeight="1">
      <c r="A55" s="89">
        <v>46</v>
      </c>
      <c r="B55" s="91" t="s">
        <v>1619</v>
      </c>
      <c r="C55" s="959">
        <v>158439.71</v>
      </c>
      <c r="D55" s="854" t="s">
        <v>1764</v>
      </c>
      <c r="E55" s="873" t="s">
        <v>1838</v>
      </c>
      <c r="F55" s="873" t="s">
        <v>1839</v>
      </c>
      <c r="G55" s="873">
        <v>1</v>
      </c>
      <c r="H55" s="873">
        <v>50</v>
      </c>
    </row>
    <row r="56" spans="1:8" ht="58.5" customHeight="1">
      <c r="A56" s="89">
        <v>47</v>
      </c>
      <c r="B56" s="91" t="s">
        <v>1621</v>
      </c>
      <c r="C56" s="959">
        <v>166750.28</v>
      </c>
      <c r="D56" s="854" t="s">
        <v>1764</v>
      </c>
      <c r="E56" s="873" t="s">
        <v>1838</v>
      </c>
      <c r="F56" s="873" t="s">
        <v>1839</v>
      </c>
      <c r="G56" s="873">
        <v>1</v>
      </c>
      <c r="H56" s="873">
        <v>40</v>
      </c>
    </row>
    <row r="57" spans="1:8" ht="58.5" customHeight="1">
      <c r="A57" s="89">
        <v>48</v>
      </c>
      <c r="B57" s="91" t="s">
        <v>1622</v>
      </c>
      <c r="C57" s="959">
        <v>176739.9</v>
      </c>
      <c r="D57" s="854" t="s">
        <v>1765</v>
      </c>
      <c r="E57" s="873" t="s">
        <v>1838</v>
      </c>
      <c r="F57" s="873" t="s">
        <v>1839</v>
      </c>
      <c r="G57" s="873">
        <v>1</v>
      </c>
      <c r="H57" s="873">
        <v>14</v>
      </c>
    </row>
    <row r="58" spans="1:8" ht="58.5" customHeight="1">
      <c r="A58" s="89">
        <v>49</v>
      </c>
      <c r="B58" s="91" t="s">
        <v>1623</v>
      </c>
      <c r="C58" s="959">
        <v>461978.66</v>
      </c>
      <c r="D58" s="854" t="s">
        <v>1766</v>
      </c>
      <c r="E58" s="873" t="s">
        <v>1838</v>
      </c>
      <c r="F58" s="873" t="s">
        <v>1839</v>
      </c>
      <c r="G58" s="873">
        <v>1</v>
      </c>
      <c r="H58" s="873">
        <v>80</v>
      </c>
    </row>
    <row r="59" spans="1:8" ht="58.5" customHeight="1">
      <c r="A59" s="89">
        <v>50</v>
      </c>
      <c r="B59" s="91" t="s">
        <v>1624</v>
      </c>
      <c r="C59" s="959">
        <v>804352.83</v>
      </c>
      <c r="D59" s="854" t="s">
        <v>1749</v>
      </c>
      <c r="E59" s="873" t="s">
        <v>1838</v>
      </c>
      <c r="F59" s="873" t="s">
        <v>1839</v>
      </c>
      <c r="G59" s="873">
        <v>12</v>
      </c>
      <c r="H59" s="873">
        <v>54</v>
      </c>
    </row>
    <row r="60" spans="1:8" ht="96" customHeight="1">
      <c r="A60" s="89">
        <v>51</v>
      </c>
      <c r="B60" s="94" t="s">
        <v>1625</v>
      </c>
      <c r="C60" s="959">
        <v>804352.83</v>
      </c>
      <c r="D60" s="89" t="s">
        <v>1767</v>
      </c>
      <c r="E60" s="873" t="s">
        <v>1838</v>
      </c>
      <c r="F60" s="873" t="s">
        <v>1839</v>
      </c>
      <c r="G60" s="873">
        <v>12</v>
      </c>
      <c r="H60" s="873">
        <v>55</v>
      </c>
    </row>
    <row r="61" spans="1:8" ht="96" customHeight="1">
      <c r="A61" s="89">
        <v>52</v>
      </c>
      <c r="B61" s="94" t="s">
        <v>1626</v>
      </c>
      <c r="C61" s="959">
        <v>277284.28000000003</v>
      </c>
      <c r="D61" s="89" t="s">
        <v>1768</v>
      </c>
      <c r="E61" s="873" t="s">
        <v>1838</v>
      </c>
      <c r="F61" s="873" t="s">
        <v>1839</v>
      </c>
      <c r="G61" s="873">
        <v>4</v>
      </c>
      <c r="H61" s="873">
        <v>18</v>
      </c>
    </row>
    <row r="62" spans="1:8" ht="58.5" customHeight="1">
      <c r="A62" s="89">
        <v>53</v>
      </c>
      <c r="B62" s="91" t="s">
        <v>1627</v>
      </c>
      <c r="C62" s="959">
        <v>346605.35</v>
      </c>
      <c r="D62" s="854" t="s">
        <v>1769</v>
      </c>
      <c r="E62" s="873" t="s">
        <v>1838</v>
      </c>
      <c r="F62" s="873" t="s">
        <v>1839</v>
      </c>
      <c r="G62" s="873">
        <v>5</v>
      </c>
      <c r="H62" s="873">
        <v>22</v>
      </c>
    </row>
    <row r="63" spans="1:8" ht="58.5" customHeight="1">
      <c r="A63" s="89">
        <v>54</v>
      </c>
      <c r="B63" s="91" t="s">
        <v>1628</v>
      </c>
      <c r="C63" s="959">
        <v>1039816.04</v>
      </c>
      <c r="D63" s="854" t="s">
        <v>1770</v>
      </c>
      <c r="E63" s="873" t="s">
        <v>1838</v>
      </c>
      <c r="F63" s="873" t="s">
        <v>1839</v>
      </c>
      <c r="G63" s="873">
        <v>15</v>
      </c>
      <c r="H63" s="873">
        <v>66</v>
      </c>
    </row>
    <row r="64" spans="1:8" ht="58.5" customHeight="1">
      <c r="A64" s="89">
        <v>55</v>
      </c>
      <c r="B64" s="91" t="s">
        <v>1629</v>
      </c>
      <c r="C64" s="959">
        <v>1688705.66</v>
      </c>
      <c r="D64" s="854" t="s">
        <v>1765</v>
      </c>
      <c r="E64" s="873" t="s">
        <v>1838</v>
      </c>
      <c r="F64" s="873" t="s">
        <v>1839</v>
      </c>
      <c r="G64" s="873">
        <v>24</v>
      </c>
      <c r="H64" s="873">
        <v>108</v>
      </c>
    </row>
    <row r="65" spans="1:8" s="138" customFormat="1" ht="58.5" customHeight="1">
      <c r="A65" s="89">
        <v>56</v>
      </c>
      <c r="B65" s="91" t="s">
        <v>1630</v>
      </c>
      <c r="C65" s="959">
        <v>844352.83</v>
      </c>
      <c r="D65" s="854" t="s">
        <v>1737</v>
      </c>
      <c r="E65" s="873" t="s">
        <v>1838</v>
      </c>
      <c r="F65" s="873" t="s">
        <v>1839</v>
      </c>
      <c r="G65" s="873">
        <v>12</v>
      </c>
      <c r="H65" s="873">
        <v>54</v>
      </c>
    </row>
    <row r="66" spans="1:8" s="138" customFormat="1" ht="58.5" customHeight="1">
      <c r="A66" s="89">
        <v>57</v>
      </c>
      <c r="B66" s="91" t="s">
        <v>1631</v>
      </c>
      <c r="C66" s="959">
        <v>844352.83</v>
      </c>
      <c r="D66" s="854" t="s">
        <v>1739</v>
      </c>
      <c r="E66" s="873" t="s">
        <v>1838</v>
      </c>
      <c r="F66" s="873" t="s">
        <v>1839</v>
      </c>
      <c r="G66" s="873">
        <v>12</v>
      </c>
      <c r="H66" s="873">
        <v>54</v>
      </c>
    </row>
    <row r="67" spans="1:8" s="138" customFormat="1" ht="58.5" customHeight="1">
      <c r="A67" s="89">
        <v>58</v>
      </c>
      <c r="B67" s="91" t="s">
        <v>1632</v>
      </c>
      <c r="C67" s="959">
        <v>803224.21</v>
      </c>
      <c r="D67" s="854" t="s">
        <v>1771</v>
      </c>
      <c r="E67" s="873" t="s">
        <v>1838</v>
      </c>
      <c r="F67" s="873" t="s">
        <v>1839</v>
      </c>
      <c r="G67" s="873">
        <v>1</v>
      </c>
      <c r="H67" s="873">
        <v>90</v>
      </c>
    </row>
    <row r="68" spans="1:8" s="138" customFormat="1" ht="58.5" customHeight="1">
      <c r="A68" s="89">
        <v>59</v>
      </c>
      <c r="B68" s="91" t="s">
        <v>1633</v>
      </c>
      <c r="C68" s="959">
        <v>388188.35</v>
      </c>
      <c r="D68" s="854" t="s">
        <v>1772</v>
      </c>
      <c r="E68" s="873" t="s">
        <v>1838</v>
      </c>
      <c r="F68" s="873" t="s">
        <v>1839</v>
      </c>
      <c r="G68" s="873">
        <v>1</v>
      </c>
      <c r="H68" s="873">
        <v>40</v>
      </c>
    </row>
    <row r="69" spans="1:8" s="138" customFormat="1" ht="58.5" customHeight="1">
      <c r="A69" s="89">
        <v>60</v>
      </c>
      <c r="B69" s="91" t="s">
        <v>1634</v>
      </c>
      <c r="C69" s="959">
        <v>279261.40000000002</v>
      </c>
      <c r="D69" s="854" t="s">
        <v>1773</v>
      </c>
      <c r="E69" s="873" t="s">
        <v>1838</v>
      </c>
      <c r="F69" s="873" t="s">
        <v>1839</v>
      </c>
      <c r="G69" s="873">
        <v>1</v>
      </c>
      <c r="H69" s="873">
        <v>50</v>
      </c>
    </row>
    <row r="70" spans="1:8" ht="58.5" customHeight="1">
      <c r="A70" s="89">
        <v>61</v>
      </c>
      <c r="B70" s="91" t="s">
        <v>1635</v>
      </c>
      <c r="C70" s="959">
        <v>223247.67</v>
      </c>
      <c r="D70" s="854" t="s">
        <v>1773</v>
      </c>
      <c r="E70" s="873" t="s">
        <v>1838</v>
      </c>
      <c r="F70" s="873" t="s">
        <v>1839</v>
      </c>
      <c r="G70" s="873">
        <v>1</v>
      </c>
      <c r="H70" s="873">
        <v>39</v>
      </c>
    </row>
    <row r="71" spans="1:8" ht="58.5" customHeight="1">
      <c r="A71" s="89">
        <v>62</v>
      </c>
      <c r="B71" s="91" t="s">
        <v>1636</v>
      </c>
      <c r="C71" s="959">
        <v>407697.69</v>
      </c>
      <c r="D71" s="854" t="s">
        <v>1774</v>
      </c>
      <c r="E71" s="873" t="s">
        <v>1838</v>
      </c>
      <c r="F71" s="873" t="s">
        <v>1839</v>
      </c>
      <c r="G71" s="873">
        <v>1</v>
      </c>
      <c r="H71" s="873">
        <v>120</v>
      </c>
    </row>
    <row r="72" spans="1:8" ht="58.5" customHeight="1">
      <c r="A72" s="89">
        <v>63</v>
      </c>
      <c r="B72" s="91" t="s">
        <v>1637</v>
      </c>
      <c r="C72" s="959">
        <v>356941.89</v>
      </c>
      <c r="D72" s="854" t="s">
        <v>1775</v>
      </c>
      <c r="E72" s="873" t="s">
        <v>1838</v>
      </c>
      <c r="F72" s="873" t="s">
        <v>1839</v>
      </c>
      <c r="G72" s="873">
        <v>1</v>
      </c>
      <c r="H72" s="873">
        <v>39</v>
      </c>
    </row>
    <row r="73" spans="1:8" ht="58.5" customHeight="1">
      <c r="A73" s="89">
        <v>64</v>
      </c>
      <c r="B73" s="94" t="s">
        <v>1638</v>
      </c>
      <c r="C73" s="959">
        <v>330318.57</v>
      </c>
      <c r="D73" s="89" t="s">
        <v>1776</v>
      </c>
      <c r="E73" s="873" t="s">
        <v>1838</v>
      </c>
      <c r="F73" s="873" t="s">
        <v>1839</v>
      </c>
      <c r="G73" s="873">
        <v>1</v>
      </c>
      <c r="H73" s="873">
        <v>48</v>
      </c>
    </row>
    <row r="74" spans="1:8" ht="58.5" customHeight="1">
      <c r="A74" s="89">
        <v>65</v>
      </c>
      <c r="B74" s="243" t="s">
        <v>1639</v>
      </c>
      <c r="C74" s="959">
        <v>297656.51</v>
      </c>
      <c r="D74" s="89" t="s">
        <v>1777</v>
      </c>
      <c r="E74" s="873" t="s">
        <v>1838</v>
      </c>
      <c r="F74" s="873" t="s">
        <v>1839</v>
      </c>
      <c r="G74" s="873">
        <v>1</v>
      </c>
      <c r="H74" s="873">
        <v>92</v>
      </c>
    </row>
    <row r="75" spans="1:8" ht="58.5" customHeight="1">
      <c r="A75" s="89">
        <v>66</v>
      </c>
      <c r="B75" s="243" t="s">
        <v>1640</v>
      </c>
      <c r="C75" s="959">
        <v>456760.17</v>
      </c>
      <c r="D75" s="89" t="s">
        <v>1778</v>
      </c>
      <c r="E75" s="873" t="s">
        <v>1838</v>
      </c>
      <c r="F75" s="873" t="s">
        <v>1839</v>
      </c>
      <c r="G75" s="873">
        <v>1</v>
      </c>
      <c r="H75" s="873">
        <v>125</v>
      </c>
    </row>
    <row r="76" spans="1:8" ht="58.5" customHeight="1">
      <c r="A76" s="89">
        <v>67</v>
      </c>
      <c r="B76" s="243" t="s">
        <v>1641</v>
      </c>
      <c r="C76" s="959">
        <v>336450.96</v>
      </c>
      <c r="D76" s="89" t="s">
        <v>1778</v>
      </c>
      <c r="E76" s="873" t="s">
        <v>1838</v>
      </c>
      <c r="F76" s="873" t="s">
        <v>1839</v>
      </c>
      <c r="G76" s="873">
        <v>1</v>
      </c>
      <c r="H76" s="873">
        <v>63</v>
      </c>
    </row>
    <row r="77" spans="1:8" ht="58.5" customHeight="1">
      <c r="A77" s="89">
        <v>68</v>
      </c>
      <c r="B77" s="243" t="s">
        <v>1642</v>
      </c>
      <c r="C77" s="959">
        <v>260961.24</v>
      </c>
      <c r="D77" s="89" t="s">
        <v>1742</v>
      </c>
      <c r="E77" s="873" t="s">
        <v>1838</v>
      </c>
      <c r="F77" s="873" t="s">
        <v>1839</v>
      </c>
      <c r="G77" s="873">
        <v>1</v>
      </c>
      <c r="H77" s="873">
        <v>39</v>
      </c>
    </row>
    <row r="78" spans="1:8" ht="58.5" customHeight="1">
      <c r="A78" s="89">
        <v>69</v>
      </c>
      <c r="B78" s="118" t="s">
        <v>1643</v>
      </c>
      <c r="C78" s="959">
        <v>297962.2</v>
      </c>
      <c r="D78" s="854" t="s">
        <v>1744</v>
      </c>
      <c r="E78" s="873" t="s">
        <v>1838</v>
      </c>
      <c r="F78" s="873" t="s">
        <v>1839</v>
      </c>
      <c r="G78" s="873">
        <v>1</v>
      </c>
      <c r="H78" s="873">
        <v>34</v>
      </c>
    </row>
    <row r="79" spans="1:8" ht="58.5" customHeight="1">
      <c r="A79" s="89">
        <v>70</v>
      </c>
      <c r="B79" s="118" t="s">
        <v>1644</v>
      </c>
      <c r="C79" s="959">
        <v>420643.93</v>
      </c>
      <c r="D79" s="89" t="s">
        <v>1779</v>
      </c>
      <c r="E79" s="873" t="s">
        <v>1838</v>
      </c>
      <c r="F79" s="873" t="s">
        <v>1839</v>
      </c>
      <c r="G79" s="873">
        <v>1</v>
      </c>
      <c r="H79" s="873">
        <v>42</v>
      </c>
    </row>
    <row r="80" spans="1:8" ht="58.5" customHeight="1">
      <c r="A80" s="89">
        <v>71</v>
      </c>
      <c r="B80" s="118" t="s">
        <v>1645</v>
      </c>
      <c r="C80" s="959">
        <v>419271.56</v>
      </c>
      <c r="D80" s="854" t="s">
        <v>1737</v>
      </c>
      <c r="E80" s="873" t="s">
        <v>1838</v>
      </c>
      <c r="F80" s="873" t="s">
        <v>1839</v>
      </c>
      <c r="G80" s="873">
        <v>1</v>
      </c>
      <c r="H80" s="873">
        <v>105</v>
      </c>
    </row>
    <row r="81" spans="1:8" ht="58.5" customHeight="1">
      <c r="A81" s="89">
        <v>72</v>
      </c>
      <c r="B81" s="118" t="s">
        <v>1646</v>
      </c>
      <c r="C81" s="959">
        <v>348306.15</v>
      </c>
      <c r="D81" s="854" t="s">
        <v>1780</v>
      </c>
      <c r="E81" s="873" t="s">
        <v>1838</v>
      </c>
      <c r="F81" s="873" t="s">
        <v>1839</v>
      </c>
      <c r="G81" s="873">
        <v>5</v>
      </c>
      <c r="H81" s="873">
        <v>25</v>
      </c>
    </row>
    <row r="82" spans="1:8" ht="58.5" customHeight="1">
      <c r="A82" s="89">
        <v>73</v>
      </c>
      <c r="B82" s="118" t="s">
        <v>1647</v>
      </c>
      <c r="C82" s="959">
        <v>534599.01</v>
      </c>
      <c r="D82" s="854" t="s">
        <v>1781</v>
      </c>
      <c r="E82" s="873" t="s">
        <v>1838</v>
      </c>
      <c r="F82" s="873" t="s">
        <v>1839</v>
      </c>
      <c r="G82" s="873">
        <v>8</v>
      </c>
      <c r="H82" s="873">
        <v>40</v>
      </c>
    </row>
    <row r="83" spans="1:8" ht="58.5" customHeight="1">
      <c r="A83" s="89">
        <v>74</v>
      </c>
      <c r="B83" s="118" t="s">
        <v>1648</v>
      </c>
      <c r="C83" s="959">
        <v>69661.23</v>
      </c>
      <c r="D83" s="854" t="s">
        <v>1763</v>
      </c>
      <c r="E83" s="873" t="s">
        <v>1838</v>
      </c>
      <c r="F83" s="873" t="s">
        <v>1839</v>
      </c>
      <c r="G83" s="873">
        <v>1</v>
      </c>
      <c r="H83" s="873">
        <v>5</v>
      </c>
    </row>
    <row r="84" spans="1:8" ht="58.5" customHeight="1">
      <c r="A84" s="89">
        <v>75</v>
      </c>
      <c r="B84" s="118" t="s">
        <v>1649</v>
      </c>
      <c r="C84" s="959">
        <v>475474.42</v>
      </c>
      <c r="D84" s="854" t="s">
        <v>1768</v>
      </c>
      <c r="E84" s="873" t="s">
        <v>1838</v>
      </c>
      <c r="F84" s="873" t="s">
        <v>1839</v>
      </c>
      <c r="G84" s="873">
        <v>7</v>
      </c>
      <c r="H84" s="873">
        <v>35</v>
      </c>
    </row>
    <row r="85" spans="1:8" ht="58.5" customHeight="1">
      <c r="A85" s="89">
        <v>76</v>
      </c>
      <c r="B85" s="118" t="s">
        <v>1650</v>
      </c>
      <c r="C85" s="959">
        <v>482775.96</v>
      </c>
      <c r="D85" s="854" t="s">
        <v>1782</v>
      </c>
      <c r="E85" s="873" t="s">
        <v>1838</v>
      </c>
      <c r="F85" s="873" t="s">
        <v>1839</v>
      </c>
      <c r="G85" s="873">
        <v>7</v>
      </c>
      <c r="H85" s="873">
        <v>35</v>
      </c>
    </row>
    <row r="86" spans="1:8" ht="58.5" customHeight="1">
      <c r="A86" s="89">
        <v>77</v>
      </c>
      <c r="B86" s="118" t="s">
        <v>1651</v>
      </c>
      <c r="C86" s="959">
        <v>536216.56000000006</v>
      </c>
      <c r="D86" s="854" t="s">
        <v>1769</v>
      </c>
      <c r="E86" s="873" t="s">
        <v>1838</v>
      </c>
      <c r="F86" s="873" t="s">
        <v>1839</v>
      </c>
      <c r="G86" s="873">
        <v>8</v>
      </c>
      <c r="H86" s="873">
        <v>40</v>
      </c>
    </row>
    <row r="87" spans="1:8" ht="58.5" customHeight="1">
      <c r="A87" s="89">
        <v>78</v>
      </c>
      <c r="B87" s="118" t="s">
        <v>1652</v>
      </c>
      <c r="C87" s="959">
        <v>59124.59</v>
      </c>
      <c r="D87" s="854" t="s">
        <v>1738</v>
      </c>
      <c r="E87" s="873" t="s">
        <v>1838</v>
      </c>
      <c r="F87" s="873" t="s">
        <v>1839</v>
      </c>
      <c r="G87" s="873">
        <v>1</v>
      </c>
      <c r="H87" s="873">
        <v>5</v>
      </c>
    </row>
    <row r="88" spans="1:8" ht="58.5" customHeight="1">
      <c r="A88" s="89">
        <v>79</v>
      </c>
      <c r="B88" s="118" t="s">
        <v>1653</v>
      </c>
      <c r="C88" s="959">
        <v>456679.85</v>
      </c>
      <c r="D88" s="854" t="s">
        <v>1783</v>
      </c>
      <c r="E88" s="873" t="s">
        <v>1838</v>
      </c>
      <c r="F88" s="873" t="s">
        <v>1839</v>
      </c>
      <c r="G88" s="873">
        <v>1</v>
      </c>
      <c r="H88" s="873">
        <v>30</v>
      </c>
    </row>
    <row r="89" spans="1:8" ht="58.5" customHeight="1">
      <c r="A89" s="89">
        <v>80</v>
      </c>
      <c r="B89" s="118" t="s">
        <v>1654</v>
      </c>
      <c r="C89" s="959">
        <v>414572.45</v>
      </c>
      <c r="D89" s="854" t="s">
        <v>1749</v>
      </c>
      <c r="E89" s="873" t="s">
        <v>1838</v>
      </c>
      <c r="F89" s="873" t="s">
        <v>1839</v>
      </c>
      <c r="G89" s="873">
        <v>1</v>
      </c>
      <c r="H89" s="873">
        <v>66</v>
      </c>
    </row>
    <row r="90" spans="1:8" ht="58.5" customHeight="1">
      <c r="A90" s="89">
        <v>81</v>
      </c>
      <c r="B90" s="118" t="s">
        <v>1655</v>
      </c>
      <c r="C90" s="959">
        <v>173091.59</v>
      </c>
      <c r="D90" s="854" t="s">
        <v>1784</v>
      </c>
      <c r="E90" s="873" t="s">
        <v>1838</v>
      </c>
      <c r="F90" s="873" t="s">
        <v>1839</v>
      </c>
      <c r="G90" s="873">
        <v>1</v>
      </c>
      <c r="H90" s="873">
        <v>24</v>
      </c>
    </row>
    <row r="91" spans="1:8" ht="58.5" customHeight="1">
      <c r="A91" s="89">
        <v>82</v>
      </c>
      <c r="B91" s="118" t="s">
        <v>1656</v>
      </c>
      <c r="C91" s="959">
        <v>279450.61</v>
      </c>
      <c r="D91" s="854" t="s">
        <v>1784</v>
      </c>
      <c r="E91" s="873" t="s">
        <v>1838</v>
      </c>
      <c r="F91" s="873" t="s">
        <v>1839</v>
      </c>
      <c r="G91" s="873">
        <v>1</v>
      </c>
      <c r="H91" s="873">
        <v>40</v>
      </c>
    </row>
    <row r="92" spans="1:8" ht="58.5" customHeight="1">
      <c r="A92" s="89">
        <v>83</v>
      </c>
      <c r="B92" s="910" t="s">
        <v>1657</v>
      </c>
      <c r="C92" s="959">
        <v>123871.5</v>
      </c>
      <c r="D92" s="854" t="s">
        <v>1785</v>
      </c>
      <c r="E92" s="873" t="s">
        <v>1838</v>
      </c>
      <c r="F92" s="873" t="s">
        <v>1839</v>
      </c>
      <c r="G92" s="873">
        <v>1</v>
      </c>
      <c r="H92" s="873">
        <v>30</v>
      </c>
    </row>
    <row r="93" spans="1:8" ht="58.5" customHeight="1">
      <c r="A93" s="89">
        <v>84</v>
      </c>
      <c r="B93" s="118" t="s">
        <v>1658</v>
      </c>
      <c r="C93" s="956">
        <v>1500000</v>
      </c>
      <c r="D93" s="854" t="s">
        <v>1786</v>
      </c>
      <c r="E93" s="873" t="s">
        <v>1838</v>
      </c>
      <c r="F93" s="873" t="s">
        <v>1839</v>
      </c>
      <c r="G93" s="873">
        <v>1</v>
      </c>
      <c r="H93" s="873">
        <v>68</v>
      </c>
    </row>
    <row r="94" spans="1:8" ht="58.5" customHeight="1">
      <c r="A94" s="89">
        <v>85</v>
      </c>
      <c r="B94" s="118" t="s">
        <v>1659</v>
      </c>
      <c r="C94" s="956">
        <v>1025848.9</v>
      </c>
      <c r="D94" s="854" t="s">
        <v>1761</v>
      </c>
      <c r="E94" s="873" t="s">
        <v>1838</v>
      </c>
      <c r="F94" s="873" t="s">
        <v>1839</v>
      </c>
      <c r="G94" s="873">
        <v>555</v>
      </c>
      <c r="H94" s="873">
        <v>60</v>
      </c>
    </row>
    <row r="95" spans="1:8" ht="58.5" customHeight="1">
      <c r="A95" s="89">
        <v>86</v>
      </c>
      <c r="B95" s="118" t="s">
        <v>1660</v>
      </c>
      <c r="C95" s="956">
        <v>508042.27</v>
      </c>
      <c r="D95" s="854" t="s">
        <v>1745</v>
      </c>
      <c r="E95" s="873" t="s">
        <v>1838</v>
      </c>
      <c r="F95" s="873" t="s">
        <v>1839</v>
      </c>
      <c r="G95" s="873">
        <v>1</v>
      </c>
      <c r="H95" s="873">
        <v>201</v>
      </c>
    </row>
    <row r="96" spans="1:8" ht="58.5" customHeight="1">
      <c r="A96" s="89">
        <v>87</v>
      </c>
      <c r="B96" s="118" t="s">
        <v>1661</v>
      </c>
      <c r="C96" s="956">
        <v>8280</v>
      </c>
      <c r="D96" s="854" t="s">
        <v>1745</v>
      </c>
      <c r="E96" s="873" t="s">
        <v>1838</v>
      </c>
      <c r="F96" s="873" t="s">
        <v>1839</v>
      </c>
      <c r="G96" s="873">
        <v>1</v>
      </c>
      <c r="H96" s="873">
        <v>208</v>
      </c>
    </row>
    <row r="97" spans="1:8" ht="58.5" customHeight="1">
      <c r="A97" s="89">
        <v>88</v>
      </c>
      <c r="B97" s="118" t="s">
        <v>1662</v>
      </c>
      <c r="C97" s="956">
        <v>40000</v>
      </c>
      <c r="D97" s="854" t="s">
        <v>1782</v>
      </c>
      <c r="E97" s="873" t="s">
        <v>1838</v>
      </c>
      <c r="F97" s="873" t="s">
        <v>1839</v>
      </c>
      <c r="G97" s="873">
        <v>1</v>
      </c>
      <c r="H97" s="873">
        <v>302</v>
      </c>
    </row>
    <row r="98" spans="1:8" ht="58.5" customHeight="1">
      <c r="A98" s="89">
        <v>89</v>
      </c>
      <c r="B98" s="118" t="s">
        <v>1663</v>
      </c>
      <c r="C98" s="956">
        <v>40000</v>
      </c>
      <c r="D98" s="854" t="s">
        <v>1769</v>
      </c>
      <c r="E98" s="873" t="s">
        <v>1838</v>
      </c>
      <c r="F98" s="873" t="s">
        <v>1839</v>
      </c>
      <c r="G98" s="873">
        <v>1</v>
      </c>
      <c r="H98" s="873">
        <v>101</v>
      </c>
    </row>
    <row r="99" spans="1:8" ht="58.5" customHeight="1">
      <c r="A99" s="89">
        <v>90</v>
      </c>
      <c r="B99" s="118" t="s">
        <v>1664</v>
      </c>
      <c r="C99" s="956">
        <v>9443</v>
      </c>
      <c r="D99" s="854" t="s">
        <v>1782</v>
      </c>
      <c r="E99" s="873" t="s">
        <v>1838</v>
      </c>
      <c r="F99" s="873" t="s">
        <v>1839</v>
      </c>
      <c r="G99" s="873">
        <v>1</v>
      </c>
      <c r="H99" s="873">
        <v>99</v>
      </c>
    </row>
    <row r="100" spans="1:8" ht="58.5" customHeight="1">
      <c r="A100" s="89">
        <v>91</v>
      </c>
      <c r="B100" s="118" t="s">
        <v>1665</v>
      </c>
      <c r="C100" s="956">
        <v>8550</v>
      </c>
      <c r="D100" s="854" t="s">
        <v>1770</v>
      </c>
      <c r="E100" s="873" t="s">
        <v>1838</v>
      </c>
      <c r="F100" s="873" t="s">
        <v>1839</v>
      </c>
      <c r="G100" s="873">
        <v>1</v>
      </c>
      <c r="H100" s="873">
        <v>168</v>
      </c>
    </row>
    <row r="101" spans="1:8" ht="58.5" customHeight="1">
      <c r="A101" s="89">
        <v>92</v>
      </c>
      <c r="B101" s="118" t="s">
        <v>1666</v>
      </c>
      <c r="C101" s="956">
        <v>27370</v>
      </c>
      <c r="D101" s="854" t="s">
        <v>1787</v>
      </c>
      <c r="E101" s="873" t="s">
        <v>1838</v>
      </c>
      <c r="F101" s="873" t="s">
        <v>1839</v>
      </c>
      <c r="G101" s="873">
        <v>1</v>
      </c>
      <c r="H101" s="873">
        <v>208</v>
      </c>
    </row>
    <row r="102" spans="1:8" ht="58.5" customHeight="1">
      <c r="A102" s="89">
        <v>93</v>
      </c>
      <c r="B102" s="118" t="s">
        <v>1667</v>
      </c>
      <c r="C102" s="956">
        <v>11550</v>
      </c>
      <c r="D102" s="854" t="s">
        <v>1740</v>
      </c>
      <c r="E102" s="873" t="s">
        <v>1838</v>
      </c>
      <c r="F102" s="873" t="s">
        <v>1839</v>
      </c>
      <c r="G102" s="873">
        <v>1</v>
      </c>
      <c r="H102" s="873">
        <v>248</v>
      </c>
    </row>
    <row r="103" spans="1:8" ht="58.5" customHeight="1">
      <c r="A103" s="89">
        <v>94</v>
      </c>
      <c r="B103" s="118" t="s">
        <v>1668</v>
      </c>
      <c r="C103" s="956">
        <v>40000</v>
      </c>
      <c r="D103" s="854" t="s">
        <v>1788</v>
      </c>
      <c r="E103" s="873" t="s">
        <v>1838</v>
      </c>
      <c r="F103" s="873" t="s">
        <v>1839</v>
      </c>
      <c r="G103" s="873">
        <v>1</v>
      </c>
      <c r="H103" s="873">
        <v>230</v>
      </c>
    </row>
    <row r="104" spans="1:8" ht="58.5" customHeight="1">
      <c r="A104" s="89">
        <v>95</v>
      </c>
      <c r="B104" s="118" t="s">
        <v>1669</v>
      </c>
      <c r="C104" s="956">
        <v>23143.01</v>
      </c>
      <c r="D104" s="854" t="s">
        <v>1789</v>
      </c>
      <c r="E104" s="873" t="s">
        <v>1838</v>
      </c>
      <c r="F104" s="873" t="s">
        <v>1839</v>
      </c>
      <c r="G104" s="873">
        <v>1</v>
      </c>
      <c r="H104" s="873">
        <v>113</v>
      </c>
    </row>
    <row r="105" spans="1:8" ht="58.5" customHeight="1">
      <c r="A105" s="89">
        <v>96</v>
      </c>
      <c r="B105" s="118" t="s">
        <v>1670</v>
      </c>
      <c r="C105" s="956">
        <v>25474.53</v>
      </c>
      <c r="D105" s="854" t="s">
        <v>1782</v>
      </c>
      <c r="E105" s="873" t="s">
        <v>1838</v>
      </c>
      <c r="F105" s="873" t="s">
        <v>1839</v>
      </c>
      <c r="G105" s="873">
        <v>1</v>
      </c>
      <c r="H105" s="873">
        <v>196</v>
      </c>
    </row>
    <row r="106" spans="1:8" ht="58.5" customHeight="1">
      <c r="A106" s="89">
        <v>97</v>
      </c>
      <c r="B106" s="118" t="s">
        <v>1671</v>
      </c>
      <c r="C106" s="956">
        <v>20000</v>
      </c>
      <c r="D106" s="854" t="s">
        <v>1790</v>
      </c>
      <c r="E106" s="873" t="s">
        <v>1838</v>
      </c>
      <c r="F106" s="873" t="s">
        <v>1839</v>
      </c>
      <c r="G106" s="873">
        <v>1</v>
      </c>
      <c r="H106" s="873">
        <v>235</v>
      </c>
    </row>
    <row r="107" spans="1:8" ht="58.5" customHeight="1">
      <c r="A107" s="89">
        <v>98</v>
      </c>
      <c r="B107" s="118" t="s">
        <v>1672</v>
      </c>
      <c r="C107" s="956">
        <v>17362</v>
      </c>
      <c r="D107" s="854" t="s">
        <v>1787</v>
      </c>
      <c r="E107" s="873" t="s">
        <v>1838</v>
      </c>
      <c r="F107" s="873" t="s">
        <v>1839</v>
      </c>
      <c r="G107" s="873">
        <v>1</v>
      </c>
      <c r="H107" s="873">
        <v>570</v>
      </c>
    </row>
    <row r="108" spans="1:8" ht="58.5" customHeight="1">
      <c r="A108" s="89">
        <v>99</v>
      </c>
      <c r="B108" s="118" t="s">
        <v>1673</v>
      </c>
      <c r="C108" s="956">
        <v>39203</v>
      </c>
      <c r="D108" s="854" t="s">
        <v>1791</v>
      </c>
      <c r="E108" s="873" t="s">
        <v>1838</v>
      </c>
      <c r="F108" s="873" t="s">
        <v>1839</v>
      </c>
      <c r="G108" s="873">
        <v>1</v>
      </c>
      <c r="H108" s="873">
        <v>229</v>
      </c>
    </row>
    <row r="109" spans="1:8" ht="58.5" customHeight="1">
      <c r="A109" s="89">
        <v>100</v>
      </c>
      <c r="B109" s="118" t="s">
        <v>1674</v>
      </c>
      <c r="C109" s="956">
        <v>44845.599999999999</v>
      </c>
      <c r="D109" s="854" t="s">
        <v>1736</v>
      </c>
      <c r="E109" s="873" t="s">
        <v>1838</v>
      </c>
      <c r="F109" s="873" t="s">
        <v>1839</v>
      </c>
      <c r="G109" s="873">
        <v>1</v>
      </c>
      <c r="H109" s="873">
        <v>218</v>
      </c>
    </row>
    <row r="110" spans="1:8" ht="58.5" customHeight="1">
      <c r="A110" s="89">
        <v>101</v>
      </c>
      <c r="B110" s="118" t="s">
        <v>1675</v>
      </c>
      <c r="C110" s="956">
        <v>32530</v>
      </c>
      <c r="D110" s="854" t="s">
        <v>1743</v>
      </c>
      <c r="E110" s="873" t="s">
        <v>1838</v>
      </c>
      <c r="F110" s="873" t="s">
        <v>1839</v>
      </c>
      <c r="G110" s="873">
        <v>1</v>
      </c>
      <c r="H110" s="873">
        <v>230</v>
      </c>
    </row>
    <row r="111" spans="1:8" ht="58.5" customHeight="1">
      <c r="A111" s="89">
        <v>102</v>
      </c>
      <c r="B111" s="118" t="s">
        <v>1676</v>
      </c>
      <c r="C111" s="956">
        <v>19323.05</v>
      </c>
      <c r="D111" s="854" t="s">
        <v>1782</v>
      </c>
      <c r="E111" s="873" t="s">
        <v>1838</v>
      </c>
      <c r="F111" s="873" t="s">
        <v>1839</v>
      </c>
      <c r="G111" s="873">
        <v>1</v>
      </c>
      <c r="H111" s="873">
        <v>303</v>
      </c>
    </row>
    <row r="112" spans="1:8" ht="58.5" customHeight="1">
      <c r="A112" s="89">
        <v>103</v>
      </c>
      <c r="B112" s="118" t="s">
        <v>1677</v>
      </c>
      <c r="C112" s="956">
        <v>41200</v>
      </c>
      <c r="D112" s="854" t="s">
        <v>1782</v>
      </c>
      <c r="E112" s="873" t="s">
        <v>1838</v>
      </c>
      <c r="F112" s="873" t="s">
        <v>1839</v>
      </c>
      <c r="G112" s="873">
        <v>1</v>
      </c>
      <c r="H112" s="873">
        <v>435</v>
      </c>
    </row>
    <row r="113" spans="1:8" ht="58.5" customHeight="1">
      <c r="A113" s="89">
        <v>104</v>
      </c>
      <c r="B113" s="118" t="s">
        <v>1678</v>
      </c>
      <c r="C113" s="956">
        <v>140185.94</v>
      </c>
      <c r="D113" s="854" t="s">
        <v>1750</v>
      </c>
      <c r="E113" s="873" t="s">
        <v>1838</v>
      </c>
      <c r="F113" s="873" t="s">
        <v>1839</v>
      </c>
      <c r="G113" s="873">
        <v>1</v>
      </c>
      <c r="H113" s="873">
        <v>93</v>
      </c>
    </row>
    <row r="114" spans="1:8" ht="58.5" customHeight="1">
      <c r="A114" s="89">
        <v>105</v>
      </c>
      <c r="B114" s="118" t="s">
        <v>1679</v>
      </c>
      <c r="C114" s="956">
        <v>20000</v>
      </c>
      <c r="D114" s="854" t="s">
        <v>1790</v>
      </c>
      <c r="E114" s="873" t="s">
        <v>1838</v>
      </c>
      <c r="F114" s="873" t="s">
        <v>1839</v>
      </c>
      <c r="G114" s="873">
        <v>1</v>
      </c>
      <c r="H114" s="873">
        <v>242</v>
      </c>
    </row>
    <row r="115" spans="1:8" ht="58.5" customHeight="1">
      <c r="A115" s="89">
        <v>106</v>
      </c>
      <c r="B115" s="118" t="s">
        <v>1680</v>
      </c>
      <c r="C115" s="956">
        <v>22903</v>
      </c>
      <c r="D115" s="854" t="s">
        <v>1792</v>
      </c>
      <c r="E115" s="873" t="s">
        <v>1838</v>
      </c>
      <c r="F115" s="873" t="s">
        <v>1839</v>
      </c>
      <c r="G115" s="873">
        <v>1</v>
      </c>
      <c r="H115" s="873">
        <v>247</v>
      </c>
    </row>
    <row r="116" spans="1:8" ht="58.5" customHeight="1">
      <c r="A116" s="89">
        <v>107</v>
      </c>
      <c r="B116" s="118" t="s">
        <v>1681</v>
      </c>
      <c r="C116" s="956">
        <v>46945</v>
      </c>
      <c r="D116" s="854" t="s">
        <v>1789</v>
      </c>
      <c r="E116" s="873" t="s">
        <v>1838</v>
      </c>
      <c r="F116" s="873" t="s">
        <v>1839</v>
      </c>
      <c r="G116" s="873">
        <v>1</v>
      </c>
      <c r="H116" s="873">
        <v>161</v>
      </c>
    </row>
    <row r="117" spans="1:8" ht="58.5" customHeight="1">
      <c r="A117" s="89">
        <v>108</v>
      </c>
      <c r="B117" s="118" t="s">
        <v>1682</v>
      </c>
      <c r="C117" s="956">
        <v>10000</v>
      </c>
      <c r="D117" s="854" t="s">
        <v>1782</v>
      </c>
      <c r="E117" s="873" t="s">
        <v>1838</v>
      </c>
      <c r="F117" s="873" t="s">
        <v>1839</v>
      </c>
      <c r="G117" s="873">
        <v>1</v>
      </c>
      <c r="H117" s="873">
        <v>422</v>
      </c>
    </row>
    <row r="118" spans="1:8" ht="58.5" customHeight="1">
      <c r="A118" s="89">
        <v>109</v>
      </c>
      <c r="B118" s="118" t="s">
        <v>1683</v>
      </c>
      <c r="C118" s="956">
        <v>30000</v>
      </c>
      <c r="D118" s="854" t="s">
        <v>1785</v>
      </c>
      <c r="E118" s="873" t="s">
        <v>1838</v>
      </c>
      <c r="F118" s="873" t="s">
        <v>1839</v>
      </c>
      <c r="G118" s="873">
        <v>1</v>
      </c>
      <c r="H118" s="873">
        <v>200</v>
      </c>
    </row>
    <row r="119" spans="1:8" ht="58.5" customHeight="1">
      <c r="A119" s="89">
        <v>110</v>
      </c>
      <c r="B119" s="118" t="s">
        <v>1684</v>
      </c>
      <c r="C119" s="956">
        <v>33075</v>
      </c>
      <c r="D119" s="854" t="s">
        <v>1739</v>
      </c>
      <c r="E119" s="873" t="s">
        <v>1838</v>
      </c>
      <c r="F119" s="873" t="s">
        <v>1839</v>
      </c>
      <c r="G119" s="873">
        <v>1</v>
      </c>
      <c r="H119" s="873">
        <v>181</v>
      </c>
    </row>
    <row r="120" spans="1:8" ht="58.5" customHeight="1">
      <c r="A120" s="89">
        <v>111</v>
      </c>
      <c r="B120" s="118" t="s">
        <v>1685</v>
      </c>
      <c r="C120" s="956">
        <v>28000</v>
      </c>
      <c r="D120" s="854" t="s">
        <v>1765</v>
      </c>
      <c r="E120" s="873" t="s">
        <v>1838</v>
      </c>
      <c r="F120" s="873" t="s">
        <v>1839</v>
      </c>
      <c r="G120" s="873">
        <v>1</v>
      </c>
      <c r="H120" s="873">
        <v>260</v>
      </c>
    </row>
    <row r="121" spans="1:8" ht="58.5" customHeight="1">
      <c r="A121" s="89">
        <v>112</v>
      </c>
      <c r="B121" s="118" t="s">
        <v>1686</v>
      </c>
      <c r="C121" s="956">
        <v>50000</v>
      </c>
      <c r="D121" s="854" t="s">
        <v>1749</v>
      </c>
      <c r="E121" s="873" t="s">
        <v>1838</v>
      </c>
      <c r="F121" s="873" t="s">
        <v>1839</v>
      </c>
      <c r="G121" s="873">
        <v>1</v>
      </c>
      <c r="H121" s="873">
        <v>1094</v>
      </c>
    </row>
    <row r="122" spans="1:8" ht="58.5" customHeight="1">
      <c r="A122" s="89">
        <v>113</v>
      </c>
      <c r="B122" s="118" t="s">
        <v>1687</v>
      </c>
      <c r="C122" s="956">
        <v>50000</v>
      </c>
      <c r="D122" s="854" t="s">
        <v>1768</v>
      </c>
      <c r="E122" s="873" t="s">
        <v>1838</v>
      </c>
      <c r="F122" s="873" t="s">
        <v>1839</v>
      </c>
      <c r="G122" s="873">
        <v>1</v>
      </c>
      <c r="H122" s="873">
        <v>860</v>
      </c>
    </row>
    <row r="123" spans="1:8" ht="58.5" customHeight="1">
      <c r="A123" s="89">
        <v>114</v>
      </c>
      <c r="B123" s="118" t="s">
        <v>1688</v>
      </c>
      <c r="C123" s="956">
        <v>42000</v>
      </c>
      <c r="D123" s="854" t="s">
        <v>1739</v>
      </c>
      <c r="E123" s="873" t="s">
        <v>1838</v>
      </c>
      <c r="F123" s="873" t="s">
        <v>1839</v>
      </c>
      <c r="G123" s="873">
        <v>1</v>
      </c>
      <c r="H123" s="873">
        <v>123</v>
      </c>
    </row>
    <row r="124" spans="1:8" ht="58.5" customHeight="1">
      <c r="A124" s="89">
        <v>115</v>
      </c>
      <c r="B124" s="118" t="s">
        <v>1689</v>
      </c>
      <c r="C124" s="956">
        <v>26432.81</v>
      </c>
      <c r="D124" s="854" t="s">
        <v>1782</v>
      </c>
      <c r="E124" s="873" t="s">
        <v>1838</v>
      </c>
      <c r="F124" s="873" t="s">
        <v>1839</v>
      </c>
      <c r="G124" s="873">
        <v>1</v>
      </c>
      <c r="H124" s="873">
        <v>368</v>
      </c>
    </row>
    <row r="125" spans="1:8" ht="58.5" customHeight="1">
      <c r="A125" s="89">
        <v>116</v>
      </c>
      <c r="B125" s="118" t="s">
        <v>1690</v>
      </c>
      <c r="C125" s="956">
        <v>33278</v>
      </c>
      <c r="D125" s="854" t="s">
        <v>1788</v>
      </c>
      <c r="E125" s="873" t="s">
        <v>1838</v>
      </c>
      <c r="F125" s="873" t="s">
        <v>1839</v>
      </c>
      <c r="G125" s="873">
        <v>1</v>
      </c>
      <c r="H125" s="873">
        <v>310</v>
      </c>
    </row>
    <row r="126" spans="1:8" ht="58.5" customHeight="1">
      <c r="A126" s="89">
        <v>117</v>
      </c>
      <c r="B126" s="118" t="s">
        <v>1691</v>
      </c>
      <c r="C126" s="956">
        <v>38581</v>
      </c>
      <c r="D126" s="854" t="s">
        <v>1739</v>
      </c>
      <c r="E126" s="873" t="s">
        <v>1838</v>
      </c>
      <c r="F126" s="873" t="s">
        <v>1839</v>
      </c>
      <c r="G126" s="873">
        <v>1</v>
      </c>
      <c r="H126" s="873">
        <v>100</v>
      </c>
    </row>
    <row r="127" spans="1:8" ht="58.5" customHeight="1">
      <c r="A127" s="89">
        <v>118</v>
      </c>
      <c r="B127" s="118" t="s">
        <v>1692</v>
      </c>
      <c r="C127" s="956">
        <v>30321</v>
      </c>
      <c r="D127" s="854" t="s">
        <v>1749</v>
      </c>
      <c r="E127" s="873" t="s">
        <v>1838</v>
      </c>
      <c r="F127" s="873" t="s">
        <v>1839</v>
      </c>
      <c r="G127" s="873">
        <v>1</v>
      </c>
      <c r="H127" s="873">
        <v>192</v>
      </c>
    </row>
    <row r="128" spans="1:8" ht="58.5" customHeight="1">
      <c r="A128" s="89">
        <v>119</v>
      </c>
      <c r="B128" s="118" t="s">
        <v>1693</v>
      </c>
      <c r="C128" s="956">
        <v>30190</v>
      </c>
      <c r="D128" s="854" t="s">
        <v>1737</v>
      </c>
      <c r="E128" s="873" t="s">
        <v>1838</v>
      </c>
      <c r="F128" s="873" t="s">
        <v>1839</v>
      </c>
      <c r="G128" s="873">
        <v>1</v>
      </c>
      <c r="H128" s="873">
        <v>78</v>
      </c>
    </row>
    <row r="129" spans="1:8" ht="58.5" customHeight="1">
      <c r="A129" s="89">
        <v>120</v>
      </c>
      <c r="B129" s="118" t="s">
        <v>1694</v>
      </c>
      <c r="C129" s="956">
        <v>774480.8</v>
      </c>
      <c r="D129" s="854" t="s">
        <v>1782</v>
      </c>
      <c r="E129" s="873" t="s">
        <v>1838</v>
      </c>
      <c r="F129" s="873" t="s">
        <v>1839</v>
      </c>
      <c r="G129" s="873">
        <v>184</v>
      </c>
      <c r="H129" s="873">
        <v>192</v>
      </c>
    </row>
    <row r="130" spans="1:8" ht="58.5" customHeight="1">
      <c r="A130" s="89">
        <v>121</v>
      </c>
      <c r="B130" s="118" t="s">
        <v>1695</v>
      </c>
      <c r="C130" s="956">
        <v>382586.04</v>
      </c>
      <c r="D130" s="854" t="s">
        <v>1793</v>
      </c>
      <c r="E130" s="873" t="s">
        <v>1838</v>
      </c>
      <c r="F130" s="873" t="s">
        <v>1839</v>
      </c>
      <c r="G130" s="873">
        <v>319</v>
      </c>
      <c r="H130" s="873">
        <v>92</v>
      </c>
    </row>
    <row r="131" spans="1:8" ht="58.5" customHeight="1">
      <c r="A131" s="89">
        <v>122</v>
      </c>
      <c r="B131" s="118" t="s">
        <v>1696</v>
      </c>
      <c r="C131" s="956">
        <v>110632.15</v>
      </c>
      <c r="D131" s="854" t="s">
        <v>1794</v>
      </c>
      <c r="E131" s="873" t="s">
        <v>1838</v>
      </c>
      <c r="F131" s="873" t="s">
        <v>1839</v>
      </c>
      <c r="G131" s="873">
        <v>1</v>
      </c>
      <c r="H131" s="873">
        <v>219</v>
      </c>
    </row>
    <row r="132" spans="1:8" ht="58.5" customHeight="1">
      <c r="A132" s="89">
        <v>123</v>
      </c>
      <c r="B132" s="118" t="s">
        <v>1697</v>
      </c>
      <c r="C132" s="956">
        <v>240000</v>
      </c>
      <c r="D132" s="854" t="s">
        <v>1770</v>
      </c>
      <c r="E132" s="873" t="s">
        <v>1838</v>
      </c>
      <c r="F132" s="873" t="s">
        <v>1839</v>
      </c>
      <c r="G132" s="873">
        <v>299</v>
      </c>
      <c r="H132" s="873">
        <v>144</v>
      </c>
    </row>
    <row r="133" spans="1:8" ht="58.5" customHeight="1">
      <c r="A133" s="89">
        <v>124</v>
      </c>
      <c r="B133" s="118" t="s">
        <v>1698</v>
      </c>
      <c r="C133" s="956">
        <v>1545000.01</v>
      </c>
      <c r="D133" s="854" t="s">
        <v>1795</v>
      </c>
      <c r="E133" s="873" t="s">
        <v>1838</v>
      </c>
      <c r="F133" s="873" t="s">
        <v>1839</v>
      </c>
      <c r="G133" s="873">
        <v>1</v>
      </c>
      <c r="H133" s="873">
        <v>432</v>
      </c>
    </row>
    <row r="134" spans="1:8" ht="58.5" customHeight="1">
      <c r="A134" s="89">
        <v>125</v>
      </c>
      <c r="B134" s="118" t="s">
        <v>1699</v>
      </c>
      <c r="C134" s="956">
        <v>2000000</v>
      </c>
      <c r="D134" s="854" t="s">
        <v>1745</v>
      </c>
      <c r="E134" s="873" t="s">
        <v>1838</v>
      </c>
      <c r="F134" s="873" t="s">
        <v>1839</v>
      </c>
      <c r="G134" s="873">
        <v>1</v>
      </c>
      <c r="H134" s="873">
        <v>539</v>
      </c>
    </row>
    <row r="135" spans="1:8" ht="58.5" customHeight="1">
      <c r="A135" s="89">
        <v>126</v>
      </c>
      <c r="B135" s="118" t="s">
        <v>1700</v>
      </c>
      <c r="C135" s="956">
        <v>1000000</v>
      </c>
      <c r="D135" s="854" t="s">
        <v>1763</v>
      </c>
      <c r="E135" s="873" t="s">
        <v>1838</v>
      </c>
      <c r="F135" s="873" t="s">
        <v>1839</v>
      </c>
      <c r="G135" s="873">
        <v>1</v>
      </c>
      <c r="H135" s="873">
        <v>252</v>
      </c>
    </row>
    <row r="136" spans="1:8" ht="58.5" customHeight="1">
      <c r="A136" s="89">
        <v>127</v>
      </c>
      <c r="B136" s="118" t="s">
        <v>1701</v>
      </c>
      <c r="C136" s="956">
        <v>46284.71</v>
      </c>
      <c r="D136" s="854" t="s">
        <v>1745</v>
      </c>
      <c r="E136" s="873" t="s">
        <v>1838</v>
      </c>
      <c r="F136" s="873" t="s">
        <v>1839</v>
      </c>
      <c r="G136" s="873">
        <v>1</v>
      </c>
      <c r="H136" s="873">
        <v>9297</v>
      </c>
    </row>
    <row r="137" spans="1:8" ht="58.5" customHeight="1">
      <c r="A137" s="89">
        <v>128</v>
      </c>
      <c r="B137" s="118" t="s">
        <v>1702</v>
      </c>
      <c r="C137" s="956">
        <v>168997.88</v>
      </c>
      <c r="D137" s="854" t="s">
        <v>1796</v>
      </c>
      <c r="E137" s="873" t="s">
        <v>1838</v>
      </c>
      <c r="F137" s="873" t="s">
        <v>1839</v>
      </c>
      <c r="G137" s="873">
        <v>1</v>
      </c>
      <c r="H137" s="873">
        <v>8372</v>
      </c>
    </row>
    <row r="138" spans="1:8" ht="58.5" customHeight="1">
      <c r="A138" s="89">
        <v>129</v>
      </c>
      <c r="B138" s="118" t="s">
        <v>1703</v>
      </c>
      <c r="C138" s="956">
        <v>88902.59</v>
      </c>
      <c r="D138" s="854" t="s">
        <v>1797</v>
      </c>
      <c r="E138" s="873" t="s">
        <v>1838</v>
      </c>
      <c r="F138" s="873" t="s">
        <v>1839</v>
      </c>
      <c r="G138" s="873">
        <v>1</v>
      </c>
      <c r="H138" s="873">
        <v>5840</v>
      </c>
    </row>
    <row r="139" spans="1:8" ht="58.5" customHeight="1">
      <c r="A139" s="89">
        <v>130</v>
      </c>
      <c r="B139" s="118" t="s">
        <v>1704</v>
      </c>
      <c r="C139" s="956">
        <v>46709.13</v>
      </c>
      <c r="D139" s="854" t="s">
        <v>1798</v>
      </c>
      <c r="E139" s="873" t="s">
        <v>1838</v>
      </c>
      <c r="F139" s="873" t="s">
        <v>1839</v>
      </c>
      <c r="G139" s="873">
        <v>1</v>
      </c>
      <c r="H139" s="873">
        <v>5896</v>
      </c>
    </row>
    <row r="140" spans="1:8" ht="58.5" customHeight="1">
      <c r="A140" s="89">
        <v>131</v>
      </c>
      <c r="B140" s="118" t="s">
        <v>1705</v>
      </c>
      <c r="C140" s="956">
        <v>183988.83</v>
      </c>
      <c r="D140" s="854" t="s">
        <v>1746</v>
      </c>
      <c r="E140" s="873" t="s">
        <v>1838</v>
      </c>
      <c r="F140" s="873" t="s">
        <v>1839</v>
      </c>
      <c r="G140" s="873">
        <v>1</v>
      </c>
      <c r="H140" s="873">
        <v>6212</v>
      </c>
    </row>
    <row r="141" spans="1:8" ht="58.5" customHeight="1">
      <c r="A141" s="89">
        <v>132</v>
      </c>
      <c r="B141" s="118" t="s">
        <v>1706</v>
      </c>
      <c r="C141" s="956">
        <v>173197.34</v>
      </c>
      <c r="D141" s="854" t="s">
        <v>1799</v>
      </c>
      <c r="E141" s="873" t="s">
        <v>1838</v>
      </c>
      <c r="F141" s="873" t="s">
        <v>1839</v>
      </c>
      <c r="G141" s="873">
        <v>1</v>
      </c>
      <c r="H141" s="873">
        <v>10392</v>
      </c>
    </row>
    <row r="142" spans="1:8" ht="58.5" customHeight="1">
      <c r="A142" s="89">
        <v>133</v>
      </c>
      <c r="B142" s="118" t="s">
        <v>1707</v>
      </c>
      <c r="C142" s="956">
        <v>36969.94</v>
      </c>
      <c r="D142" s="854" t="s">
        <v>1749</v>
      </c>
      <c r="E142" s="873" t="s">
        <v>1838</v>
      </c>
      <c r="F142" s="873" t="s">
        <v>1839</v>
      </c>
      <c r="G142" s="873">
        <v>1</v>
      </c>
      <c r="H142" s="873">
        <v>2940</v>
      </c>
    </row>
    <row r="143" spans="1:8" ht="58.5" customHeight="1">
      <c r="A143" s="89">
        <v>134</v>
      </c>
      <c r="B143" s="118" t="s">
        <v>1708</v>
      </c>
      <c r="C143" s="956">
        <v>54949.58</v>
      </c>
      <c r="D143" s="854" t="s">
        <v>1744</v>
      </c>
      <c r="E143" s="873" t="s">
        <v>1838</v>
      </c>
      <c r="F143" s="873" t="s">
        <v>1839</v>
      </c>
      <c r="G143" s="873">
        <v>1</v>
      </c>
      <c r="H143" s="873">
        <v>3900</v>
      </c>
    </row>
    <row r="144" spans="1:8" ht="58.5" customHeight="1">
      <c r="A144" s="89">
        <v>135</v>
      </c>
      <c r="B144" s="118" t="s">
        <v>1709</v>
      </c>
      <c r="C144" s="956">
        <v>20000</v>
      </c>
      <c r="D144" s="854" t="s">
        <v>1800</v>
      </c>
      <c r="E144" s="873" t="s">
        <v>1838</v>
      </c>
      <c r="F144" s="873" t="s">
        <v>1839</v>
      </c>
      <c r="G144" s="873">
        <v>1</v>
      </c>
      <c r="H144" s="873">
        <v>230</v>
      </c>
    </row>
    <row r="145" spans="1:8" ht="58.5" customHeight="1">
      <c r="A145" s="89">
        <v>136</v>
      </c>
      <c r="B145" s="118" t="s">
        <v>1710</v>
      </c>
      <c r="C145" s="956">
        <v>211367.79</v>
      </c>
      <c r="D145" s="854" t="s">
        <v>1801</v>
      </c>
      <c r="E145" s="873" t="s">
        <v>1838</v>
      </c>
      <c r="F145" s="873" t="s">
        <v>1839</v>
      </c>
      <c r="G145" s="873">
        <v>3</v>
      </c>
      <c r="H145" s="873">
        <v>10</v>
      </c>
    </row>
    <row r="146" spans="1:8" ht="58.5" customHeight="1">
      <c r="A146" s="89">
        <v>137</v>
      </c>
      <c r="B146" s="118" t="s">
        <v>1711</v>
      </c>
      <c r="C146" s="956">
        <v>211367.79</v>
      </c>
      <c r="D146" s="854" t="s">
        <v>1777</v>
      </c>
      <c r="E146" s="873" t="s">
        <v>1838</v>
      </c>
      <c r="F146" s="873" t="s">
        <v>1839</v>
      </c>
      <c r="G146" s="873">
        <v>3</v>
      </c>
      <c r="H146" s="873">
        <v>11</v>
      </c>
    </row>
    <row r="147" spans="1:8" ht="58.5" customHeight="1">
      <c r="A147" s="89">
        <v>138</v>
      </c>
      <c r="B147" s="118" t="s">
        <v>1712</v>
      </c>
      <c r="C147" s="956">
        <v>70455.929999999993</v>
      </c>
      <c r="D147" s="854" t="s">
        <v>1802</v>
      </c>
      <c r="E147" s="873" t="s">
        <v>1838</v>
      </c>
      <c r="F147" s="873" t="s">
        <v>1839</v>
      </c>
      <c r="G147" s="873">
        <v>1</v>
      </c>
      <c r="H147" s="873">
        <v>6</v>
      </c>
    </row>
    <row r="148" spans="1:8" ht="58.5" customHeight="1">
      <c r="A148" s="89">
        <v>139</v>
      </c>
      <c r="B148" s="118" t="s">
        <v>1713</v>
      </c>
      <c r="C148" s="956">
        <v>70455.929999999993</v>
      </c>
      <c r="D148" s="854" t="s">
        <v>1765</v>
      </c>
      <c r="E148" s="873" t="s">
        <v>1838</v>
      </c>
      <c r="F148" s="873" t="s">
        <v>1839</v>
      </c>
      <c r="G148" s="873">
        <v>1</v>
      </c>
      <c r="H148" s="873">
        <v>3</v>
      </c>
    </row>
    <row r="149" spans="1:8" ht="58.5" customHeight="1">
      <c r="A149" s="89">
        <v>140</v>
      </c>
      <c r="B149" s="118" t="s">
        <v>1714</v>
      </c>
      <c r="C149" s="956">
        <v>140911.89000000001</v>
      </c>
      <c r="D149" s="854" t="s">
        <v>1803</v>
      </c>
      <c r="E149" s="873" t="s">
        <v>1838</v>
      </c>
      <c r="F149" s="873" t="s">
        <v>1839</v>
      </c>
      <c r="G149" s="873">
        <v>2</v>
      </c>
      <c r="H149" s="873">
        <v>8</v>
      </c>
    </row>
    <row r="150" spans="1:8" ht="58.5" customHeight="1">
      <c r="A150" s="89">
        <v>141</v>
      </c>
      <c r="B150" s="118" t="s">
        <v>1715</v>
      </c>
      <c r="C150" s="956">
        <v>211367.79</v>
      </c>
      <c r="D150" s="854" t="s">
        <v>1761</v>
      </c>
      <c r="E150" s="873" t="s">
        <v>1838</v>
      </c>
      <c r="F150" s="873" t="s">
        <v>1839</v>
      </c>
      <c r="G150" s="873">
        <v>3</v>
      </c>
      <c r="H150" s="873">
        <v>12</v>
      </c>
    </row>
    <row r="151" spans="1:8" ht="58.5" customHeight="1">
      <c r="A151" s="89">
        <v>142</v>
      </c>
      <c r="B151" s="118" t="s">
        <v>1716</v>
      </c>
      <c r="C151" s="956">
        <v>211367.79</v>
      </c>
      <c r="D151" s="854" t="s">
        <v>1804</v>
      </c>
      <c r="E151" s="873" t="s">
        <v>1838</v>
      </c>
      <c r="F151" s="873" t="s">
        <v>1839</v>
      </c>
      <c r="G151" s="873">
        <v>3</v>
      </c>
      <c r="H151" s="873">
        <v>12</v>
      </c>
    </row>
    <row r="152" spans="1:8" ht="58.5" customHeight="1">
      <c r="A152" s="89">
        <v>143</v>
      </c>
      <c r="B152" s="118" t="s">
        <v>1717</v>
      </c>
      <c r="C152" s="956">
        <v>1203482.21</v>
      </c>
      <c r="D152" s="854" t="s">
        <v>1805</v>
      </c>
      <c r="E152" s="873" t="s">
        <v>1838</v>
      </c>
      <c r="F152" s="873" t="s">
        <v>1839</v>
      </c>
      <c r="G152" s="873">
        <v>1628</v>
      </c>
      <c r="H152" s="873">
        <v>192</v>
      </c>
    </row>
    <row r="153" spans="1:8" ht="58.5" customHeight="1">
      <c r="A153" s="89">
        <v>144</v>
      </c>
      <c r="B153" s="118" t="s">
        <v>1718</v>
      </c>
      <c r="C153" s="956">
        <v>2197138.42</v>
      </c>
      <c r="D153" s="854" t="s">
        <v>1805</v>
      </c>
      <c r="E153" s="873" t="s">
        <v>1838</v>
      </c>
      <c r="F153" s="873" t="s">
        <v>1839</v>
      </c>
      <c r="G153" s="873">
        <v>866</v>
      </c>
      <c r="H153" s="873">
        <v>192</v>
      </c>
    </row>
    <row r="154" spans="1:8" ht="58.5" customHeight="1">
      <c r="A154" s="89">
        <v>145</v>
      </c>
      <c r="B154" s="118" t="s">
        <v>1719</v>
      </c>
      <c r="C154" s="956">
        <v>392652.46</v>
      </c>
      <c r="D154" s="854" t="s">
        <v>1749</v>
      </c>
      <c r="E154" s="873" t="s">
        <v>1838</v>
      </c>
      <c r="F154" s="873" t="s">
        <v>1839</v>
      </c>
      <c r="G154" s="873">
        <v>246</v>
      </c>
      <c r="H154" s="873">
        <v>80</v>
      </c>
    </row>
    <row r="155" spans="1:8" ht="58.5" customHeight="1">
      <c r="A155" s="89">
        <v>146</v>
      </c>
      <c r="B155" s="118" t="s">
        <v>1720</v>
      </c>
      <c r="C155" s="956">
        <v>40000</v>
      </c>
      <c r="D155" s="854" t="s">
        <v>1768</v>
      </c>
      <c r="E155" s="873" t="s">
        <v>1838</v>
      </c>
      <c r="F155" s="873" t="s">
        <v>1839</v>
      </c>
      <c r="G155" s="873">
        <v>1</v>
      </c>
      <c r="H155" s="873">
        <v>982</v>
      </c>
    </row>
    <row r="156" spans="1:8" ht="58.5" customHeight="1">
      <c r="A156" s="89">
        <v>147</v>
      </c>
      <c r="B156" s="118" t="s">
        <v>1721</v>
      </c>
      <c r="C156" s="956">
        <v>6141582.4500000002</v>
      </c>
      <c r="D156" s="854" t="s">
        <v>1806</v>
      </c>
      <c r="E156" s="873" t="s">
        <v>1838</v>
      </c>
      <c r="F156" s="873" t="s">
        <v>1839</v>
      </c>
      <c r="G156" s="873">
        <v>1</v>
      </c>
      <c r="H156" s="873">
        <v>1896</v>
      </c>
    </row>
    <row r="157" spans="1:8" ht="58.5" customHeight="1">
      <c r="A157" s="89">
        <v>148</v>
      </c>
      <c r="B157" s="118" t="s">
        <v>1722</v>
      </c>
      <c r="C157" s="956">
        <v>1122239.22</v>
      </c>
      <c r="D157" s="854" t="s">
        <v>1766</v>
      </c>
      <c r="E157" s="873" t="s">
        <v>1838</v>
      </c>
      <c r="F157" s="873" t="s">
        <v>1839</v>
      </c>
      <c r="G157" s="873">
        <v>1</v>
      </c>
      <c r="H157" s="873">
        <v>639</v>
      </c>
    </row>
    <row r="158" spans="1:8" ht="58.5" customHeight="1">
      <c r="A158" s="89">
        <v>149</v>
      </c>
      <c r="B158" s="118" t="s">
        <v>1723</v>
      </c>
      <c r="C158" s="956">
        <v>403984.21</v>
      </c>
      <c r="D158" s="854" t="s">
        <v>1807</v>
      </c>
      <c r="E158" s="873" t="s">
        <v>1838</v>
      </c>
      <c r="F158" s="873" t="s">
        <v>1839</v>
      </c>
      <c r="G158" s="873">
        <v>80</v>
      </c>
      <c r="H158" s="873">
        <v>1177</v>
      </c>
    </row>
    <row r="159" spans="1:8" ht="58.5" customHeight="1">
      <c r="A159" s="89">
        <v>150</v>
      </c>
      <c r="B159" s="118" t="s">
        <v>1724</v>
      </c>
      <c r="C159" s="956">
        <v>1365598.93</v>
      </c>
      <c r="D159" s="854" t="s">
        <v>1762</v>
      </c>
      <c r="E159" s="873" t="s">
        <v>1838</v>
      </c>
      <c r="F159" s="873" t="s">
        <v>1839</v>
      </c>
      <c r="G159" s="873">
        <v>755</v>
      </c>
      <c r="H159" s="873">
        <v>96</v>
      </c>
    </row>
    <row r="160" spans="1:8" ht="58.5" customHeight="1">
      <c r="A160" s="89">
        <v>151</v>
      </c>
      <c r="B160" s="118" t="s">
        <v>1725</v>
      </c>
      <c r="C160" s="956">
        <v>3129483.44</v>
      </c>
      <c r="D160" s="854" t="s">
        <v>1778</v>
      </c>
      <c r="E160" s="873" t="s">
        <v>1838</v>
      </c>
      <c r="F160" s="873" t="s">
        <v>1839</v>
      </c>
      <c r="G160" s="873">
        <v>1</v>
      </c>
      <c r="H160" s="873">
        <v>1980</v>
      </c>
    </row>
    <row r="161" spans="1:8" ht="58.5" customHeight="1">
      <c r="A161" s="89">
        <v>152</v>
      </c>
      <c r="B161" s="118" t="s">
        <v>1726</v>
      </c>
      <c r="C161" s="956">
        <v>840564.66</v>
      </c>
      <c r="D161" s="854" t="s">
        <v>1782</v>
      </c>
      <c r="E161" s="873" t="s">
        <v>1838</v>
      </c>
      <c r="F161" s="873" t="s">
        <v>1839</v>
      </c>
      <c r="G161" s="873">
        <v>385</v>
      </c>
      <c r="H161" s="873">
        <v>68</v>
      </c>
    </row>
    <row r="162" spans="1:8" ht="58.5" customHeight="1">
      <c r="A162" s="89">
        <v>153</v>
      </c>
      <c r="B162" s="118" t="s">
        <v>1727</v>
      </c>
      <c r="C162" s="956">
        <v>211647.39</v>
      </c>
      <c r="D162" s="854" t="s">
        <v>1783</v>
      </c>
      <c r="E162" s="873" t="s">
        <v>1838</v>
      </c>
      <c r="F162" s="873" t="s">
        <v>1839</v>
      </c>
      <c r="G162" s="873">
        <v>3</v>
      </c>
      <c r="H162" s="873">
        <v>15</v>
      </c>
    </row>
    <row r="163" spans="1:8" ht="58.5" customHeight="1">
      <c r="A163" s="89">
        <v>154</v>
      </c>
      <c r="B163" s="118" t="s">
        <v>1728</v>
      </c>
      <c r="C163" s="956">
        <v>493843.96</v>
      </c>
      <c r="D163" s="854" t="s">
        <v>1779</v>
      </c>
      <c r="E163" s="873" t="s">
        <v>1838</v>
      </c>
      <c r="F163" s="873" t="s">
        <v>1839</v>
      </c>
      <c r="G163" s="873">
        <v>7</v>
      </c>
      <c r="H163" s="873">
        <v>29</v>
      </c>
    </row>
    <row r="164" spans="1:8" ht="58.5" customHeight="1">
      <c r="A164" s="89">
        <v>155</v>
      </c>
      <c r="B164" s="118" t="s">
        <v>1729</v>
      </c>
      <c r="C164" s="956">
        <v>141098.26</v>
      </c>
      <c r="D164" s="854" t="s">
        <v>1759</v>
      </c>
      <c r="E164" s="873" t="s">
        <v>1838</v>
      </c>
      <c r="F164" s="873" t="s">
        <v>1839</v>
      </c>
      <c r="G164" s="873">
        <v>2</v>
      </c>
      <c r="H164" s="873">
        <v>12</v>
      </c>
    </row>
    <row r="165" spans="1:8" ht="58.5" customHeight="1">
      <c r="A165" s="89">
        <v>156</v>
      </c>
      <c r="B165" s="118" t="s">
        <v>1730</v>
      </c>
      <c r="C165" s="956">
        <v>307110.84000000003</v>
      </c>
      <c r="D165" s="854" t="s">
        <v>1808</v>
      </c>
      <c r="E165" s="873" t="s">
        <v>1838</v>
      </c>
      <c r="F165" s="873" t="s">
        <v>1839</v>
      </c>
      <c r="G165" s="873">
        <v>48</v>
      </c>
      <c r="H165" s="873">
        <v>194</v>
      </c>
    </row>
    <row r="166" spans="1:8" ht="58.5" customHeight="1">
      <c r="A166" s="89">
        <v>157</v>
      </c>
      <c r="B166" s="118" t="s">
        <v>1730</v>
      </c>
      <c r="C166" s="956">
        <v>364694.12</v>
      </c>
      <c r="D166" s="854" t="s">
        <v>1809</v>
      </c>
      <c r="E166" s="873" t="s">
        <v>1838</v>
      </c>
      <c r="F166" s="873" t="s">
        <v>1839</v>
      </c>
      <c r="G166" s="873">
        <v>57</v>
      </c>
      <c r="H166" s="873">
        <v>298</v>
      </c>
    </row>
    <row r="167" spans="1:8" ht="58.5" customHeight="1">
      <c r="A167" s="89">
        <v>158</v>
      </c>
      <c r="B167" s="118" t="s">
        <v>1730</v>
      </c>
      <c r="C167" s="956">
        <v>134360.99</v>
      </c>
      <c r="D167" s="854" t="s">
        <v>1788</v>
      </c>
      <c r="E167" s="873" t="s">
        <v>1838</v>
      </c>
      <c r="F167" s="873" t="s">
        <v>1839</v>
      </c>
      <c r="G167" s="873">
        <v>21</v>
      </c>
      <c r="H167" s="873">
        <v>112</v>
      </c>
    </row>
    <row r="168" spans="1:8" ht="58.5" customHeight="1">
      <c r="A168" s="89">
        <v>159</v>
      </c>
      <c r="B168" s="118" t="s">
        <v>1730</v>
      </c>
      <c r="C168" s="956">
        <v>63981.42</v>
      </c>
      <c r="D168" s="854" t="s">
        <v>1810</v>
      </c>
      <c r="E168" s="873" t="s">
        <v>1838</v>
      </c>
      <c r="F168" s="873" t="s">
        <v>1839</v>
      </c>
      <c r="G168" s="873">
        <v>10</v>
      </c>
      <c r="H168" s="873">
        <v>42</v>
      </c>
    </row>
    <row r="169" spans="1:8" ht="58.5" customHeight="1">
      <c r="A169" s="89">
        <v>160</v>
      </c>
      <c r="B169" s="118" t="s">
        <v>1730</v>
      </c>
      <c r="C169" s="956">
        <v>108768.42</v>
      </c>
      <c r="D169" s="854" t="s">
        <v>1811</v>
      </c>
      <c r="E169" s="873" t="s">
        <v>1838</v>
      </c>
      <c r="F169" s="873" t="s">
        <v>1839</v>
      </c>
      <c r="G169" s="873">
        <v>17</v>
      </c>
      <c r="H169" s="873">
        <v>96</v>
      </c>
    </row>
    <row r="170" spans="1:8" ht="58.5" customHeight="1">
      <c r="A170" s="89">
        <v>161</v>
      </c>
      <c r="B170" s="118" t="s">
        <v>1730</v>
      </c>
      <c r="C170" s="956">
        <v>31990.71</v>
      </c>
      <c r="D170" s="854" t="s">
        <v>1812</v>
      </c>
      <c r="E170" s="873" t="s">
        <v>1838</v>
      </c>
      <c r="F170" s="873" t="s">
        <v>1839</v>
      </c>
      <c r="G170" s="873">
        <v>5</v>
      </c>
      <c r="H170" s="873">
        <v>24</v>
      </c>
    </row>
    <row r="171" spans="1:8" ht="58.5" customHeight="1">
      <c r="A171" s="89">
        <v>162</v>
      </c>
      <c r="B171" s="118" t="s">
        <v>1730</v>
      </c>
      <c r="C171" s="956">
        <v>249527.55</v>
      </c>
      <c r="D171" s="854" t="s">
        <v>1813</v>
      </c>
      <c r="E171" s="873" t="s">
        <v>1838</v>
      </c>
      <c r="F171" s="873" t="s">
        <v>1839</v>
      </c>
      <c r="G171" s="873">
        <v>39</v>
      </c>
      <c r="H171" s="873">
        <v>189</v>
      </c>
    </row>
    <row r="172" spans="1:8" ht="58.5" customHeight="1">
      <c r="A172" s="89">
        <v>163</v>
      </c>
      <c r="B172" s="118" t="s">
        <v>1730</v>
      </c>
      <c r="C172" s="956">
        <v>29530.62</v>
      </c>
      <c r="D172" s="854" t="s">
        <v>1789</v>
      </c>
      <c r="E172" s="873" t="s">
        <v>1838</v>
      </c>
      <c r="F172" s="873" t="s">
        <v>1839</v>
      </c>
      <c r="G172" s="873">
        <v>5</v>
      </c>
      <c r="H172" s="873">
        <v>23</v>
      </c>
    </row>
    <row r="173" spans="1:8" ht="58.5" customHeight="1">
      <c r="A173" s="89">
        <v>164</v>
      </c>
      <c r="B173" s="118" t="s">
        <v>1730</v>
      </c>
      <c r="C173" s="956">
        <v>159953.56</v>
      </c>
      <c r="D173" s="854" t="s">
        <v>1740</v>
      </c>
      <c r="E173" s="873" t="s">
        <v>1838</v>
      </c>
      <c r="F173" s="873" t="s">
        <v>1839</v>
      </c>
      <c r="G173" s="873">
        <v>25</v>
      </c>
      <c r="H173" s="873">
        <v>132</v>
      </c>
    </row>
    <row r="174" spans="1:8" ht="58.5" customHeight="1">
      <c r="A174" s="89">
        <v>165</v>
      </c>
      <c r="B174" s="118" t="s">
        <v>1730</v>
      </c>
      <c r="C174" s="956">
        <v>140759.13</v>
      </c>
      <c r="D174" s="854" t="s">
        <v>1814</v>
      </c>
      <c r="E174" s="873" t="s">
        <v>1838</v>
      </c>
      <c r="F174" s="873" t="s">
        <v>1839</v>
      </c>
      <c r="G174" s="873">
        <v>22</v>
      </c>
      <c r="H174" s="873">
        <v>114</v>
      </c>
    </row>
    <row r="175" spans="1:8" ht="58.5" customHeight="1">
      <c r="A175" s="89">
        <v>166</v>
      </c>
      <c r="B175" s="118" t="s">
        <v>1730</v>
      </c>
      <c r="C175" s="956">
        <v>115166.56</v>
      </c>
      <c r="D175" s="854" t="s">
        <v>1815</v>
      </c>
      <c r="E175" s="873" t="s">
        <v>1838</v>
      </c>
      <c r="F175" s="873" t="s">
        <v>1839</v>
      </c>
      <c r="G175" s="873">
        <v>18</v>
      </c>
      <c r="H175" s="873">
        <v>90</v>
      </c>
    </row>
    <row r="176" spans="1:8" ht="58.5" customHeight="1">
      <c r="A176" s="89">
        <v>167</v>
      </c>
      <c r="B176" s="118" t="s">
        <v>1730</v>
      </c>
      <c r="C176" s="956">
        <v>102370.28</v>
      </c>
      <c r="D176" s="854" t="s">
        <v>1786</v>
      </c>
      <c r="E176" s="873" t="s">
        <v>1838</v>
      </c>
      <c r="F176" s="873" t="s">
        <v>1839</v>
      </c>
      <c r="G176" s="873">
        <v>16</v>
      </c>
      <c r="H176" s="873">
        <v>86</v>
      </c>
    </row>
    <row r="177" spans="1:8" ht="58.5" customHeight="1">
      <c r="A177" s="89">
        <v>168</v>
      </c>
      <c r="B177" s="118" t="s">
        <v>1730</v>
      </c>
      <c r="C177" s="956">
        <v>57583.28</v>
      </c>
      <c r="D177" s="854" t="s">
        <v>1740</v>
      </c>
      <c r="E177" s="873" t="s">
        <v>1838</v>
      </c>
      <c r="F177" s="873" t="s">
        <v>1839</v>
      </c>
      <c r="G177" s="873">
        <v>9</v>
      </c>
      <c r="H177" s="873">
        <v>44</v>
      </c>
    </row>
    <row r="178" spans="1:8" ht="58.5" customHeight="1">
      <c r="A178" s="89">
        <v>169</v>
      </c>
      <c r="B178" s="118" t="s">
        <v>1730</v>
      </c>
      <c r="C178" s="956">
        <v>198342.41</v>
      </c>
      <c r="D178" s="854" t="s">
        <v>1816</v>
      </c>
      <c r="E178" s="873" t="s">
        <v>1838</v>
      </c>
      <c r="F178" s="873" t="s">
        <v>1839</v>
      </c>
      <c r="G178" s="873">
        <v>31</v>
      </c>
      <c r="H178" s="873">
        <v>152</v>
      </c>
    </row>
    <row r="179" spans="1:8" ht="58.5" customHeight="1">
      <c r="A179" s="89">
        <v>170</v>
      </c>
      <c r="B179" s="118" t="s">
        <v>1730</v>
      </c>
      <c r="C179" s="956">
        <v>70379.570000000007</v>
      </c>
      <c r="D179" s="854" t="s">
        <v>1817</v>
      </c>
      <c r="E179" s="873" t="s">
        <v>1838</v>
      </c>
      <c r="F179" s="873" t="s">
        <v>1839</v>
      </c>
      <c r="G179" s="873">
        <v>11</v>
      </c>
      <c r="H179" s="873">
        <v>53</v>
      </c>
    </row>
    <row r="180" spans="1:8" ht="58.5" customHeight="1">
      <c r="A180" s="89">
        <v>171</v>
      </c>
      <c r="B180" s="118" t="s">
        <v>1730</v>
      </c>
      <c r="C180" s="956">
        <v>63981.42</v>
      </c>
      <c r="D180" s="854" t="s">
        <v>1818</v>
      </c>
      <c r="E180" s="873" t="s">
        <v>1838</v>
      </c>
      <c r="F180" s="873" t="s">
        <v>1839</v>
      </c>
      <c r="G180" s="873">
        <v>10</v>
      </c>
      <c r="H180" s="873">
        <v>48</v>
      </c>
    </row>
    <row r="181" spans="1:8" ht="58.5" customHeight="1">
      <c r="A181" s="89">
        <v>172</v>
      </c>
      <c r="B181" s="118" t="s">
        <v>1730</v>
      </c>
      <c r="C181" s="956">
        <v>358295.97</v>
      </c>
      <c r="D181" s="854" t="s">
        <v>1819</v>
      </c>
      <c r="E181" s="873" t="s">
        <v>1838</v>
      </c>
      <c r="F181" s="873" t="s">
        <v>1839</v>
      </c>
      <c r="G181" s="873">
        <v>56</v>
      </c>
      <c r="H181" s="873">
        <v>305</v>
      </c>
    </row>
    <row r="182" spans="1:8" ht="58.5" customHeight="1">
      <c r="A182" s="89">
        <v>173</v>
      </c>
      <c r="B182" s="118" t="s">
        <v>1730</v>
      </c>
      <c r="C182" s="956">
        <v>6398.14</v>
      </c>
      <c r="D182" s="854" t="s">
        <v>1820</v>
      </c>
      <c r="E182" s="873" t="s">
        <v>1838</v>
      </c>
      <c r="F182" s="873" t="s">
        <v>1839</v>
      </c>
      <c r="G182" s="873">
        <v>1</v>
      </c>
      <c r="H182" s="873">
        <v>2</v>
      </c>
    </row>
    <row r="183" spans="1:8" ht="58.5" customHeight="1">
      <c r="A183" s="89">
        <v>174</v>
      </c>
      <c r="B183" s="118" t="s">
        <v>1730</v>
      </c>
      <c r="C183" s="956">
        <v>38388.85</v>
      </c>
      <c r="D183" s="854" t="s">
        <v>1740</v>
      </c>
      <c r="E183" s="873" t="s">
        <v>1838</v>
      </c>
      <c r="F183" s="873" t="s">
        <v>1839</v>
      </c>
      <c r="G183" s="873">
        <v>6</v>
      </c>
      <c r="H183" s="873">
        <v>37</v>
      </c>
    </row>
    <row r="184" spans="1:8" ht="58.5" customHeight="1">
      <c r="A184" s="89">
        <v>175</v>
      </c>
      <c r="B184" s="118" t="s">
        <v>1730</v>
      </c>
      <c r="C184" s="956">
        <v>83175.850000000006</v>
      </c>
      <c r="D184" s="854" t="s">
        <v>1821</v>
      </c>
      <c r="E184" s="873" t="s">
        <v>1838</v>
      </c>
      <c r="F184" s="873" t="s">
        <v>1839</v>
      </c>
      <c r="G184" s="873">
        <v>13</v>
      </c>
      <c r="H184" s="873">
        <v>58</v>
      </c>
    </row>
    <row r="185" spans="1:8" ht="58.5" customHeight="1">
      <c r="A185" s="89">
        <v>176</v>
      </c>
      <c r="B185" s="118" t="s">
        <v>1730</v>
      </c>
      <c r="C185" s="956">
        <v>51185.14</v>
      </c>
      <c r="D185" s="854" t="s">
        <v>1822</v>
      </c>
      <c r="E185" s="873" t="s">
        <v>1838</v>
      </c>
      <c r="F185" s="873" t="s">
        <v>1839</v>
      </c>
      <c r="G185" s="873">
        <v>8</v>
      </c>
      <c r="H185" s="873">
        <v>38</v>
      </c>
    </row>
    <row r="186" spans="1:8" ht="58.5" customHeight="1">
      <c r="A186" s="89">
        <v>177</v>
      </c>
      <c r="B186" s="118" t="s">
        <v>1730</v>
      </c>
      <c r="C186" s="956">
        <v>25592.57</v>
      </c>
      <c r="D186" s="854" t="s">
        <v>1823</v>
      </c>
      <c r="E186" s="873" t="s">
        <v>1838</v>
      </c>
      <c r="F186" s="873" t="s">
        <v>1839</v>
      </c>
      <c r="G186" s="873">
        <v>4</v>
      </c>
      <c r="H186" s="873">
        <v>22</v>
      </c>
    </row>
    <row r="187" spans="1:8" ht="58.5" customHeight="1">
      <c r="A187" s="89">
        <v>178</v>
      </c>
      <c r="B187" s="118" t="s">
        <v>1730</v>
      </c>
      <c r="C187" s="956">
        <v>390286.69</v>
      </c>
      <c r="D187" s="854" t="s">
        <v>1824</v>
      </c>
      <c r="E187" s="873" t="s">
        <v>1838</v>
      </c>
      <c r="F187" s="873" t="s">
        <v>1839</v>
      </c>
      <c r="G187" s="873">
        <v>61</v>
      </c>
      <c r="H187" s="873">
        <v>290</v>
      </c>
    </row>
    <row r="188" spans="1:8" ht="58.5" customHeight="1">
      <c r="A188" s="89">
        <v>179</v>
      </c>
      <c r="B188" s="118" t="s">
        <v>1730</v>
      </c>
      <c r="C188" s="956">
        <v>6398.14</v>
      </c>
      <c r="D188" s="854" t="s">
        <v>1820</v>
      </c>
      <c r="E188" s="873" t="s">
        <v>1838</v>
      </c>
      <c r="F188" s="873" t="s">
        <v>1839</v>
      </c>
      <c r="G188" s="873">
        <v>1</v>
      </c>
      <c r="H188" s="873">
        <v>10</v>
      </c>
    </row>
    <row r="189" spans="1:8" ht="58.5" customHeight="1">
      <c r="A189" s="89">
        <v>180</v>
      </c>
      <c r="B189" s="118" t="s">
        <v>1731</v>
      </c>
      <c r="C189" s="956">
        <v>79976.23</v>
      </c>
      <c r="D189" s="854" t="s">
        <v>1825</v>
      </c>
      <c r="E189" s="873" t="s">
        <v>1838</v>
      </c>
      <c r="F189" s="873" t="s">
        <v>1839</v>
      </c>
      <c r="G189" s="873">
        <v>57</v>
      </c>
      <c r="H189" s="873">
        <v>228</v>
      </c>
    </row>
    <row r="190" spans="1:8" ht="58.5" customHeight="1">
      <c r="A190" s="89">
        <v>181</v>
      </c>
      <c r="B190" s="118" t="s">
        <v>1730</v>
      </c>
      <c r="C190" s="956">
        <v>38388.85</v>
      </c>
      <c r="D190" s="854" t="s">
        <v>1826</v>
      </c>
      <c r="E190" s="873" t="s">
        <v>1838</v>
      </c>
      <c r="F190" s="873" t="s">
        <v>1839</v>
      </c>
      <c r="G190" s="873">
        <v>6</v>
      </c>
      <c r="H190" s="873">
        <v>30</v>
      </c>
    </row>
    <row r="191" spans="1:8" ht="58.5" customHeight="1">
      <c r="A191" s="89">
        <v>182</v>
      </c>
      <c r="B191" s="118" t="s">
        <v>1730</v>
      </c>
      <c r="C191" s="956">
        <v>25592.57</v>
      </c>
      <c r="D191" s="854" t="s">
        <v>1827</v>
      </c>
      <c r="E191" s="873" t="s">
        <v>1838</v>
      </c>
      <c r="F191" s="873" t="s">
        <v>1839</v>
      </c>
      <c r="G191" s="873">
        <v>4</v>
      </c>
      <c r="H191" s="873">
        <v>17</v>
      </c>
    </row>
    <row r="192" spans="1:8" ht="58.5" customHeight="1">
      <c r="A192" s="89">
        <v>183</v>
      </c>
      <c r="B192" s="118" t="s">
        <v>1730</v>
      </c>
      <c r="C192" s="956">
        <v>44786.99</v>
      </c>
      <c r="D192" s="854" t="s">
        <v>1828</v>
      </c>
      <c r="E192" s="873" t="s">
        <v>1838</v>
      </c>
      <c r="F192" s="873" t="s">
        <v>1839</v>
      </c>
      <c r="G192" s="873">
        <v>7</v>
      </c>
      <c r="H192" s="873">
        <v>39</v>
      </c>
    </row>
    <row r="193" spans="1:8" ht="58.5" customHeight="1">
      <c r="A193" s="89">
        <v>184</v>
      </c>
      <c r="B193" s="118" t="s">
        <v>1730</v>
      </c>
      <c r="C193" s="956">
        <v>70379.570000000007</v>
      </c>
      <c r="D193" s="854" t="s">
        <v>1829</v>
      </c>
      <c r="E193" s="873" t="s">
        <v>1838</v>
      </c>
      <c r="F193" s="873" t="s">
        <v>1839</v>
      </c>
      <c r="G193" s="873">
        <v>11</v>
      </c>
      <c r="H193" s="873">
        <v>56</v>
      </c>
    </row>
    <row r="194" spans="1:8" ht="58.5" customHeight="1">
      <c r="A194" s="89">
        <v>185</v>
      </c>
      <c r="B194" s="118" t="s">
        <v>1730</v>
      </c>
      <c r="C194" s="956">
        <v>51185.14</v>
      </c>
      <c r="D194" s="854" t="s">
        <v>1830</v>
      </c>
      <c r="E194" s="873" t="s">
        <v>1838</v>
      </c>
      <c r="F194" s="873" t="s">
        <v>1839</v>
      </c>
      <c r="G194" s="873">
        <v>8</v>
      </c>
      <c r="H194" s="873">
        <v>38</v>
      </c>
    </row>
    <row r="195" spans="1:8" ht="85.5" customHeight="1">
      <c r="A195" s="89">
        <v>186</v>
      </c>
      <c r="B195" s="118" t="s">
        <v>1730</v>
      </c>
      <c r="C195" s="956">
        <v>83175.850000000006</v>
      </c>
      <c r="D195" s="854" t="s">
        <v>1831</v>
      </c>
      <c r="E195" s="873" t="s">
        <v>1838</v>
      </c>
      <c r="F195" s="873" t="s">
        <v>1839</v>
      </c>
      <c r="G195" s="873">
        <v>13</v>
      </c>
      <c r="H195" s="873">
        <v>61</v>
      </c>
    </row>
    <row r="196" spans="1:8" ht="58.5" customHeight="1">
      <c r="A196" s="89">
        <v>187</v>
      </c>
      <c r="B196" s="118" t="s">
        <v>1730</v>
      </c>
      <c r="C196" s="956">
        <v>108763.88</v>
      </c>
      <c r="D196" s="854" t="s">
        <v>1832</v>
      </c>
      <c r="E196" s="873" t="s">
        <v>1838</v>
      </c>
      <c r="F196" s="873" t="s">
        <v>1839</v>
      </c>
      <c r="G196" s="873">
        <v>17</v>
      </c>
      <c r="H196" s="873">
        <v>85</v>
      </c>
    </row>
    <row r="197" spans="1:8" ht="58.5" customHeight="1">
      <c r="A197" s="89">
        <v>188</v>
      </c>
      <c r="B197" s="118" t="s">
        <v>1730</v>
      </c>
      <c r="C197" s="956">
        <v>95968.13</v>
      </c>
      <c r="D197" s="854" t="s">
        <v>1833</v>
      </c>
      <c r="E197" s="873" t="s">
        <v>1838</v>
      </c>
      <c r="F197" s="873" t="s">
        <v>1839</v>
      </c>
      <c r="G197" s="873">
        <v>15</v>
      </c>
      <c r="H197" s="873">
        <v>75</v>
      </c>
    </row>
    <row r="198" spans="1:8" ht="58.5" customHeight="1">
      <c r="A198" s="89">
        <v>189</v>
      </c>
      <c r="B198" s="118" t="s">
        <v>1730</v>
      </c>
      <c r="C198" s="956">
        <v>223925.65</v>
      </c>
      <c r="D198" s="854" t="s">
        <v>1834</v>
      </c>
      <c r="E198" s="873" t="s">
        <v>1838</v>
      </c>
      <c r="F198" s="873" t="s">
        <v>1839</v>
      </c>
      <c r="G198" s="873">
        <v>35</v>
      </c>
      <c r="H198" s="873">
        <v>141</v>
      </c>
    </row>
    <row r="199" spans="1:8" ht="58.5" customHeight="1">
      <c r="A199" s="89">
        <v>190</v>
      </c>
      <c r="B199" s="118" t="s">
        <v>1730</v>
      </c>
      <c r="C199" s="956">
        <v>179140.52</v>
      </c>
      <c r="D199" s="854" t="s">
        <v>1835</v>
      </c>
      <c r="E199" s="873" t="s">
        <v>1838</v>
      </c>
      <c r="F199" s="873" t="s">
        <v>1839</v>
      </c>
      <c r="G199" s="873">
        <v>28</v>
      </c>
      <c r="H199" s="873">
        <v>122</v>
      </c>
    </row>
    <row r="200" spans="1:8" ht="58.5" customHeight="1">
      <c r="A200" s="89">
        <v>191</v>
      </c>
      <c r="B200" s="118" t="s">
        <v>1732</v>
      </c>
      <c r="C200" s="956">
        <v>1049384.4099999999</v>
      </c>
      <c r="D200" s="854" t="s">
        <v>1794</v>
      </c>
      <c r="E200" s="873" t="s">
        <v>1838</v>
      </c>
      <c r="F200" s="873" t="s">
        <v>1839</v>
      </c>
      <c r="G200" s="873">
        <v>1</v>
      </c>
      <c r="H200" s="873">
        <v>219</v>
      </c>
    </row>
    <row r="201" spans="1:8" ht="58.5" customHeight="1">
      <c r="A201" s="89">
        <v>192</v>
      </c>
      <c r="B201" s="118" t="s">
        <v>1733</v>
      </c>
      <c r="C201" s="956">
        <v>277441.77</v>
      </c>
      <c r="D201" s="854" t="s">
        <v>1745</v>
      </c>
      <c r="E201" s="873" t="s">
        <v>1838</v>
      </c>
      <c r="F201" s="873" t="s">
        <v>1839</v>
      </c>
      <c r="G201" s="873">
        <v>48</v>
      </c>
      <c r="H201" s="873">
        <v>252</v>
      </c>
    </row>
    <row r="202" spans="1:8" ht="58.5" customHeight="1">
      <c r="A202" s="89">
        <v>193</v>
      </c>
      <c r="B202" s="118" t="s">
        <v>1734</v>
      </c>
      <c r="C202" s="956">
        <v>13420.88</v>
      </c>
      <c r="D202" s="854" t="s">
        <v>1836</v>
      </c>
      <c r="E202" s="873" t="s">
        <v>1838</v>
      </c>
      <c r="F202" s="873" t="s">
        <v>1839</v>
      </c>
      <c r="G202" s="873">
        <v>9</v>
      </c>
      <c r="H202" s="873">
        <v>22</v>
      </c>
    </row>
    <row r="203" spans="1:8" ht="58.5" customHeight="1">
      <c r="A203" s="89">
        <v>194</v>
      </c>
      <c r="B203" s="118" t="s">
        <v>1735</v>
      </c>
      <c r="C203" s="956">
        <v>1495386.59</v>
      </c>
      <c r="D203" s="854" t="s">
        <v>1837</v>
      </c>
      <c r="E203" s="911" t="s">
        <v>1838</v>
      </c>
      <c r="F203" s="911" t="s">
        <v>1839</v>
      </c>
      <c r="G203" s="873">
        <v>117</v>
      </c>
      <c r="H203" s="873">
        <v>95</v>
      </c>
    </row>
    <row r="204" spans="1:8" ht="18.75">
      <c r="E204" s="991"/>
      <c r="F204" s="991"/>
    </row>
  </sheetData>
  <mergeCells count="10">
    <mergeCell ref="D8:D9"/>
    <mergeCell ref="D5:E5"/>
    <mergeCell ref="H7:H8"/>
    <mergeCell ref="A2:F2"/>
    <mergeCell ref="A3:F3"/>
    <mergeCell ref="D7:F7"/>
    <mergeCell ref="G7:G8"/>
    <mergeCell ref="A7:A8"/>
    <mergeCell ref="B7:B8"/>
    <mergeCell ref="C7:C8"/>
  </mergeCells>
  <pageMargins left="0.51181102362204722" right="0.51181102362204722" top="0.74803149606299213" bottom="0.74803149606299213" header="0.31496062992125984" footer="0.31496062992125984"/>
  <pageSetup scale="50" orientation="landscape"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66"/>
  </sheetPr>
  <dimension ref="A1:AS837"/>
  <sheetViews>
    <sheetView zoomScale="70" zoomScaleNormal="70" workbookViewId="0">
      <pane xSplit="4" ySplit="12" topLeftCell="E13" activePane="bottomRight" state="frozen"/>
      <selection activeCell="B1" sqref="B1"/>
      <selection pane="topRight" activeCell="E1" sqref="E1"/>
      <selection pane="bottomLeft" activeCell="B13" sqref="B13"/>
      <selection pane="bottomRight" activeCell="E15" sqref="E15"/>
    </sheetView>
  </sheetViews>
  <sheetFormatPr baseColWidth="10" defaultRowHeight="15"/>
  <cols>
    <col min="1" max="1" width="11.28515625" hidden="1" customWidth="1"/>
    <col min="2" max="2" width="10.5703125" style="33" hidden="1" customWidth="1"/>
    <col min="3" max="3" width="21.42578125" style="33" hidden="1" customWidth="1"/>
    <col min="4" max="4" width="55.140625" style="255" customWidth="1"/>
    <col min="5" max="5" width="26.85546875" style="52" customWidth="1"/>
    <col min="6" max="6" width="16.7109375" style="33" customWidth="1"/>
    <col min="7" max="7" width="16.7109375" style="759" customWidth="1"/>
    <col min="8" max="8" width="22.5703125" style="54" customWidth="1"/>
    <col min="9" max="9" width="21.5703125" style="54" customWidth="1"/>
    <col min="10" max="10" width="24.7109375" style="54" customWidth="1"/>
    <col min="11" max="11" width="23" style="54" customWidth="1"/>
    <col min="12" max="12" width="22.28515625" style="54" customWidth="1"/>
    <col min="13" max="13" width="23.5703125" style="54" customWidth="1"/>
    <col min="14" max="14" width="18" style="138" customWidth="1"/>
    <col min="15" max="15" width="18.5703125" style="138" customWidth="1"/>
    <col min="16" max="16" width="27.7109375" style="138" customWidth="1"/>
    <col min="17" max="17" width="18.28515625" customWidth="1"/>
    <col min="18" max="19" width="18.5703125" customWidth="1"/>
    <col min="20" max="20" width="18" customWidth="1"/>
    <col min="21" max="21" width="18.28515625" customWidth="1"/>
    <col min="22" max="22" width="20.42578125" customWidth="1"/>
    <col min="23" max="24" width="18.28515625" customWidth="1"/>
    <col min="25" max="25" width="19.5703125" customWidth="1"/>
    <col min="26" max="26" width="17.28515625" customWidth="1"/>
    <col min="27" max="27" width="19.42578125" customWidth="1"/>
    <col min="28" max="28" width="21.28515625" customWidth="1"/>
    <col min="29" max="29" width="17.140625" customWidth="1"/>
    <col min="30" max="30" width="16.7109375" customWidth="1"/>
    <col min="31" max="31" width="18.140625" customWidth="1"/>
    <col min="32" max="32" width="18.5703125" customWidth="1"/>
    <col min="33" max="33" width="15.28515625" customWidth="1"/>
    <col min="34" max="34" width="20.42578125" customWidth="1"/>
    <col min="35" max="35" width="22.85546875" customWidth="1"/>
    <col min="36" max="36" width="14.42578125" customWidth="1"/>
    <col min="37" max="37" width="19.28515625" customWidth="1"/>
    <col min="38" max="41" width="14.42578125" customWidth="1"/>
    <col min="42" max="42" width="40.140625" customWidth="1"/>
    <col min="43" max="253" width="11.42578125" customWidth="1"/>
    <col min="254" max="254" width="7.85546875" customWidth="1"/>
    <col min="255" max="255" width="1.5703125" customWidth="1"/>
    <col min="256" max="256" width="56" customWidth="1"/>
    <col min="266" max="266" width="7.85546875" customWidth="1"/>
    <col min="267" max="267" width="11.42578125" customWidth="1"/>
    <col min="268" max="268" width="53" customWidth="1"/>
    <col min="269" max="269" width="18.140625" customWidth="1"/>
    <col min="270" max="270" width="18.28515625" customWidth="1"/>
    <col min="271" max="271" width="18.42578125" customWidth="1"/>
    <col min="272" max="272" width="20.5703125" customWidth="1"/>
    <col min="273" max="273" width="17.7109375" customWidth="1"/>
    <col min="274" max="274" width="20.7109375" customWidth="1"/>
    <col min="275" max="275" width="24.5703125" customWidth="1"/>
    <col min="276" max="276" width="26.140625" customWidth="1"/>
    <col min="277" max="277" width="41.5703125" customWidth="1"/>
    <col min="278" max="278" width="11.42578125" customWidth="1"/>
    <col min="279" max="279" width="47.85546875" customWidth="1"/>
    <col min="280" max="509" width="11.42578125" customWidth="1"/>
    <col min="510" max="510" width="7.85546875" customWidth="1"/>
    <col min="511" max="511" width="1.5703125" customWidth="1"/>
    <col min="512" max="512" width="56" customWidth="1"/>
    <col min="522" max="522" width="7.85546875" customWidth="1"/>
    <col min="523" max="523" width="11.42578125" customWidth="1"/>
    <col min="524" max="524" width="53" customWidth="1"/>
    <col min="525" max="525" width="18.140625" customWidth="1"/>
    <col min="526" max="526" width="18.28515625" customWidth="1"/>
    <col min="527" max="527" width="18.42578125" customWidth="1"/>
    <col min="528" max="528" width="20.5703125" customWidth="1"/>
    <col min="529" max="529" width="17.7109375" customWidth="1"/>
    <col min="530" max="530" width="20.7109375" customWidth="1"/>
    <col min="531" max="531" width="24.5703125" customWidth="1"/>
    <col min="532" max="532" width="26.140625" customWidth="1"/>
    <col min="533" max="533" width="41.5703125" customWidth="1"/>
    <col min="534" max="534" width="11.42578125" customWidth="1"/>
    <col min="535" max="535" width="47.85546875" customWidth="1"/>
    <col min="536" max="765" width="11.42578125" customWidth="1"/>
    <col min="766" max="766" width="7.85546875" customWidth="1"/>
    <col min="767" max="767" width="1.5703125" customWidth="1"/>
    <col min="768" max="768" width="56" customWidth="1"/>
    <col min="778" max="778" width="7.85546875" customWidth="1"/>
    <col min="779" max="779" width="11.42578125" customWidth="1"/>
    <col min="780" max="780" width="53" customWidth="1"/>
    <col min="781" max="781" width="18.140625" customWidth="1"/>
    <col min="782" max="782" width="18.28515625" customWidth="1"/>
    <col min="783" max="783" width="18.42578125" customWidth="1"/>
    <col min="784" max="784" width="20.5703125" customWidth="1"/>
    <col min="785" max="785" width="17.7109375" customWidth="1"/>
    <col min="786" max="786" width="20.7109375" customWidth="1"/>
    <col min="787" max="787" width="24.5703125" customWidth="1"/>
    <col min="788" max="788" width="26.140625" customWidth="1"/>
    <col min="789" max="789" width="41.5703125" customWidth="1"/>
    <col min="790" max="790" width="11.42578125" customWidth="1"/>
    <col min="791" max="791" width="47.85546875" customWidth="1"/>
    <col min="792" max="1021" width="11.42578125" customWidth="1"/>
    <col min="1022" max="1022" width="7.85546875" customWidth="1"/>
    <col min="1023" max="1023" width="1.5703125" customWidth="1"/>
    <col min="1024" max="1024" width="56" customWidth="1"/>
    <col min="1034" max="1034" width="7.85546875" customWidth="1"/>
    <col min="1035" max="1035" width="11.42578125" customWidth="1"/>
    <col min="1036" max="1036" width="53" customWidth="1"/>
    <col min="1037" max="1037" width="18.140625" customWidth="1"/>
    <col min="1038" max="1038" width="18.28515625" customWidth="1"/>
    <col min="1039" max="1039" width="18.42578125" customWidth="1"/>
    <col min="1040" max="1040" width="20.5703125" customWidth="1"/>
    <col min="1041" max="1041" width="17.7109375" customWidth="1"/>
    <col min="1042" max="1042" width="20.7109375" customWidth="1"/>
    <col min="1043" max="1043" width="24.5703125" customWidth="1"/>
    <col min="1044" max="1044" width="26.140625" customWidth="1"/>
    <col min="1045" max="1045" width="41.5703125" customWidth="1"/>
    <col min="1046" max="1046" width="11.42578125" customWidth="1"/>
    <col min="1047" max="1047" width="47.85546875" customWidth="1"/>
    <col min="1048" max="1277" width="11.42578125" customWidth="1"/>
    <col min="1278" max="1278" width="7.85546875" customWidth="1"/>
    <col min="1279" max="1279" width="1.5703125" customWidth="1"/>
    <col min="1280" max="1280" width="56" customWidth="1"/>
    <col min="1290" max="1290" width="7.85546875" customWidth="1"/>
    <col min="1291" max="1291" width="11.42578125" customWidth="1"/>
    <col min="1292" max="1292" width="53" customWidth="1"/>
    <col min="1293" max="1293" width="18.140625" customWidth="1"/>
    <col min="1294" max="1294" width="18.28515625" customWidth="1"/>
    <col min="1295" max="1295" width="18.42578125" customWidth="1"/>
    <col min="1296" max="1296" width="20.5703125" customWidth="1"/>
    <col min="1297" max="1297" width="17.7109375" customWidth="1"/>
    <col min="1298" max="1298" width="20.7109375" customWidth="1"/>
    <col min="1299" max="1299" width="24.5703125" customWidth="1"/>
    <col min="1300" max="1300" width="26.140625" customWidth="1"/>
    <col min="1301" max="1301" width="41.5703125" customWidth="1"/>
    <col min="1302" max="1302" width="11.42578125" customWidth="1"/>
    <col min="1303" max="1303" width="47.85546875" customWidth="1"/>
    <col min="1304" max="1533" width="11.42578125" customWidth="1"/>
    <col min="1534" max="1534" width="7.85546875" customWidth="1"/>
    <col min="1535" max="1535" width="1.5703125" customWidth="1"/>
    <col min="1536" max="1536" width="56" customWidth="1"/>
    <col min="1546" max="1546" width="7.85546875" customWidth="1"/>
    <col min="1547" max="1547" width="11.42578125" customWidth="1"/>
    <col min="1548" max="1548" width="53" customWidth="1"/>
    <col min="1549" max="1549" width="18.140625" customWidth="1"/>
    <col min="1550" max="1550" width="18.28515625" customWidth="1"/>
    <col min="1551" max="1551" width="18.42578125" customWidth="1"/>
    <col min="1552" max="1552" width="20.5703125" customWidth="1"/>
    <col min="1553" max="1553" width="17.7109375" customWidth="1"/>
    <col min="1554" max="1554" width="20.7109375" customWidth="1"/>
    <col min="1555" max="1555" width="24.5703125" customWidth="1"/>
    <col min="1556" max="1556" width="26.140625" customWidth="1"/>
    <col min="1557" max="1557" width="41.5703125" customWidth="1"/>
    <col min="1558" max="1558" width="11.42578125" customWidth="1"/>
    <col min="1559" max="1559" width="47.85546875" customWidth="1"/>
    <col min="1560" max="1789" width="11.42578125" customWidth="1"/>
    <col min="1790" max="1790" width="7.85546875" customWidth="1"/>
    <col min="1791" max="1791" width="1.5703125" customWidth="1"/>
    <col min="1792" max="1792" width="56" customWidth="1"/>
    <col min="1802" max="1802" width="7.85546875" customWidth="1"/>
    <col min="1803" max="1803" width="11.42578125" customWidth="1"/>
    <col min="1804" max="1804" width="53" customWidth="1"/>
    <col min="1805" max="1805" width="18.140625" customWidth="1"/>
    <col min="1806" max="1806" width="18.28515625" customWidth="1"/>
    <col min="1807" max="1807" width="18.42578125" customWidth="1"/>
    <col min="1808" max="1808" width="20.5703125" customWidth="1"/>
    <col min="1809" max="1809" width="17.7109375" customWidth="1"/>
    <col min="1810" max="1810" width="20.7109375" customWidth="1"/>
    <col min="1811" max="1811" width="24.5703125" customWidth="1"/>
    <col min="1812" max="1812" width="26.140625" customWidth="1"/>
    <col min="1813" max="1813" width="41.5703125" customWidth="1"/>
    <col min="1814" max="1814" width="11.42578125" customWidth="1"/>
    <col min="1815" max="1815" width="47.85546875" customWidth="1"/>
    <col min="1816" max="2045" width="11.42578125" customWidth="1"/>
    <col min="2046" max="2046" width="7.85546875" customWidth="1"/>
    <col min="2047" max="2047" width="1.5703125" customWidth="1"/>
    <col min="2048" max="2048" width="56" customWidth="1"/>
    <col min="2058" max="2058" width="7.85546875" customWidth="1"/>
    <col min="2059" max="2059" width="11.42578125" customWidth="1"/>
    <col min="2060" max="2060" width="53" customWidth="1"/>
    <col min="2061" max="2061" width="18.140625" customWidth="1"/>
    <col min="2062" max="2062" width="18.28515625" customWidth="1"/>
    <col min="2063" max="2063" width="18.42578125" customWidth="1"/>
    <col min="2064" max="2064" width="20.5703125" customWidth="1"/>
    <col min="2065" max="2065" width="17.7109375" customWidth="1"/>
    <col min="2066" max="2066" width="20.7109375" customWidth="1"/>
    <col min="2067" max="2067" width="24.5703125" customWidth="1"/>
    <col min="2068" max="2068" width="26.140625" customWidth="1"/>
    <col min="2069" max="2069" width="41.5703125" customWidth="1"/>
    <col min="2070" max="2070" width="11.42578125" customWidth="1"/>
    <col min="2071" max="2071" width="47.85546875" customWidth="1"/>
    <col min="2072" max="2301" width="11.42578125" customWidth="1"/>
    <col min="2302" max="2302" width="7.85546875" customWidth="1"/>
    <col min="2303" max="2303" width="1.5703125" customWidth="1"/>
    <col min="2304" max="2304" width="56" customWidth="1"/>
    <col min="2314" max="2314" width="7.85546875" customWidth="1"/>
    <col min="2315" max="2315" width="11.42578125" customWidth="1"/>
    <col min="2316" max="2316" width="53" customWidth="1"/>
    <col min="2317" max="2317" width="18.140625" customWidth="1"/>
    <col min="2318" max="2318" width="18.28515625" customWidth="1"/>
    <col min="2319" max="2319" width="18.42578125" customWidth="1"/>
    <col min="2320" max="2320" width="20.5703125" customWidth="1"/>
    <col min="2321" max="2321" width="17.7109375" customWidth="1"/>
    <col min="2322" max="2322" width="20.7109375" customWidth="1"/>
    <col min="2323" max="2323" width="24.5703125" customWidth="1"/>
    <col min="2324" max="2324" width="26.140625" customWidth="1"/>
    <col min="2325" max="2325" width="41.5703125" customWidth="1"/>
    <col min="2326" max="2326" width="11.42578125" customWidth="1"/>
    <col min="2327" max="2327" width="47.85546875" customWidth="1"/>
    <col min="2328" max="2557" width="11.42578125" customWidth="1"/>
    <col min="2558" max="2558" width="7.85546875" customWidth="1"/>
    <col min="2559" max="2559" width="1.5703125" customWidth="1"/>
    <col min="2560" max="2560" width="56" customWidth="1"/>
    <col min="2570" max="2570" width="7.85546875" customWidth="1"/>
    <col min="2571" max="2571" width="11.42578125" customWidth="1"/>
    <col min="2572" max="2572" width="53" customWidth="1"/>
    <col min="2573" max="2573" width="18.140625" customWidth="1"/>
    <col min="2574" max="2574" width="18.28515625" customWidth="1"/>
    <col min="2575" max="2575" width="18.42578125" customWidth="1"/>
    <col min="2576" max="2576" width="20.5703125" customWidth="1"/>
    <col min="2577" max="2577" width="17.7109375" customWidth="1"/>
    <col min="2578" max="2578" width="20.7109375" customWidth="1"/>
    <col min="2579" max="2579" width="24.5703125" customWidth="1"/>
    <col min="2580" max="2580" width="26.140625" customWidth="1"/>
    <col min="2581" max="2581" width="41.5703125" customWidth="1"/>
    <col min="2582" max="2582" width="11.42578125" customWidth="1"/>
    <col min="2583" max="2583" width="47.85546875" customWidth="1"/>
    <col min="2584" max="2813" width="11.42578125" customWidth="1"/>
    <col min="2814" max="2814" width="7.85546875" customWidth="1"/>
    <col min="2815" max="2815" width="1.5703125" customWidth="1"/>
    <col min="2816" max="2816" width="56" customWidth="1"/>
    <col min="2826" max="2826" width="7.85546875" customWidth="1"/>
    <col min="2827" max="2827" width="11.42578125" customWidth="1"/>
    <col min="2828" max="2828" width="53" customWidth="1"/>
    <col min="2829" max="2829" width="18.140625" customWidth="1"/>
    <col min="2830" max="2830" width="18.28515625" customWidth="1"/>
    <col min="2831" max="2831" width="18.42578125" customWidth="1"/>
    <col min="2832" max="2832" width="20.5703125" customWidth="1"/>
    <col min="2833" max="2833" width="17.7109375" customWidth="1"/>
    <col min="2834" max="2834" width="20.7109375" customWidth="1"/>
    <col min="2835" max="2835" width="24.5703125" customWidth="1"/>
    <col min="2836" max="2836" width="26.140625" customWidth="1"/>
    <col min="2837" max="2837" width="41.5703125" customWidth="1"/>
    <col min="2838" max="2838" width="11.42578125" customWidth="1"/>
    <col min="2839" max="2839" width="47.85546875" customWidth="1"/>
    <col min="2840" max="3069" width="11.42578125" customWidth="1"/>
    <col min="3070" max="3070" width="7.85546875" customWidth="1"/>
    <col min="3071" max="3071" width="1.5703125" customWidth="1"/>
    <col min="3072" max="3072" width="56" customWidth="1"/>
    <col min="3082" max="3082" width="7.85546875" customWidth="1"/>
    <col min="3083" max="3083" width="11.42578125" customWidth="1"/>
    <col min="3084" max="3084" width="53" customWidth="1"/>
    <col min="3085" max="3085" width="18.140625" customWidth="1"/>
    <col min="3086" max="3086" width="18.28515625" customWidth="1"/>
    <col min="3087" max="3087" width="18.42578125" customWidth="1"/>
    <col min="3088" max="3088" width="20.5703125" customWidth="1"/>
    <col min="3089" max="3089" width="17.7109375" customWidth="1"/>
    <col min="3090" max="3090" width="20.7109375" customWidth="1"/>
    <col min="3091" max="3091" width="24.5703125" customWidth="1"/>
    <col min="3092" max="3092" width="26.140625" customWidth="1"/>
    <col min="3093" max="3093" width="41.5703125" customWidth="1"/>
    <col min="3094" max="3094" width="11.42578125" customWidth="1"/>
    <col min="3095" max="3095" width="47.85546875" customWidth="1"/>
    <col min="3096" max="3325" width="11.42578125" customWidth="1"/>
    <col min="3326" max="3326" width="7.85546875" customWidth="1"/>
    <col min="3327" max="3327" width="1.5703125" customWidth="1"/>
    <col min="3328" max="3328" width="56" customWidth="1"/>
    <col min="3338" max="3338" width="7.85546875" customWidth="1"/>
    <col min="3339" max="3339" width="11.42578125" customWidth="1"/>
    <col min="3340" max="3340" width="53" customWidth="1"/>
    <col min="3341" max="3341" width="18.140625" customWidth="1"/>
    <col min="3342" max="3342" width="18.28515625" customWidth="1"/>
    <col min="3343" max="3343" width="18.42578125" customWidth="1"/>
    <col min="3344" max="3344" width="20.5703125" customWidth="1"/>
    <col min="3345" max="3345" width="17.7109375" customWidth="1"/>
    <col min="3346" max="3346" width="20.7109375" customWidth="1"/>
    <col min="3347" max="3347" width="24.5703125" customWidth="1"/>
    <col min="3348" max="3348" width="26.140625" customWidth="1"/>
    <col min="3349" max="3349" width="41.5703125" customWidth="1"/>
    <col min="3350" max="3350" width="11.42578125" customWidth="1"/>
    <col min="3351" max="3351" width="47.85546875" customWidth="1"/>
    <col min="3352" max="3581" width="11.42578125" customWidth="1"/>
    <col min="3582" max="3582" width="7.85546875" customWidth="1"/>
    <col min="3583" max="3583" width="1.5703125" customWidth="1"/>
    <col min="3584" max="3584" width="56" customWidth="1"/>
    <col min="3594" max="3594" width="7.85546875" customWidth="1"/>
    <col min="3595" max="3595" width="11.42578125" customWidth="1"/>
    <col min="3596" max="3596" width="53" customWidth="1"/>
    <col min="3597" max="3597" width="18.140625" customWidth="1"/>
    <col min="3598" max="3598" width="18.28515625" customWidth="1"/>
    <col min="3599" max="3599" width="18.42578125" customWidth="1"/>
    <col min="3600" max="3600" width="20.5703125" customWidth="1"/>
    <col min="3601" max="3601" width="17.7109375" customWidth="1"/>
    <col min="3602" max="3602" width="20.7109375" customWidth="1"/>
    <col min="3603" max="3603" width="24.5703125" customWidth="1"/>
    <col min="3604" max="3604" width="26.140625" customWidth="1"/>
    <col min="3605" max="3605" width="41.5703125" customWidth="1"/>
    <col min="3606" max="3606" width="11.42578125" customWidth="1"/>
    <col min="3607" max="3607" width="47.85546875" customWidth="1"/>
    <col min="3608" max="3837" width="11.42578125" customWidth="1"/>
    <col min="3838" max="3838" width="7.85546875" customWidth="1"/>
    <col min="3839" max="3839" width="1.5703125" customWidth="1"/>
    <col min="3840" max="3840" width="56" customWidth="1"/>
    <col min="3850" max="3850" width="7.85546875" customWidth="1"/>
    <col min="3851" max="3851" width="11.42578125" customWidth="1"/>
    <col min="3852" max="3852" width="53" customWidth="1"/>
    <col min="3853" max="3853" width="18.140625" customWidth="1"/>
    <col min="3854" max="3854" width="18.28515625" customWidth="1"/>
    <col min="3855" max="3855" width="18.42578125" customWidth="1"/>
    <col min="3856" max="3856" width="20.5703125" customWidth="1"/>
    <col min="3857" max="3857" width="17.7109375" customWidth="1"/>
    <col min="3858" max="3858" width="20.7109375" customWidth="1"/>
    <col min="3859" max="3859" width="24.5703125" customWidth="1"/>
    <col min="3860" max="3860" width="26.140625" customWidth="1"/>
    <col min="3861" max="3861" width="41.5703125" customWidth="1"/>
    <col min="3862" max="3862" width="11.42578125" customWidth="1"/>
    <col min="3863" max="3863" width="47.85546875" customWidth="1"/>
    <col min="3864" max="4093" width="11.42578125" customWidth="1"/>
    <col min="4094" max="4094" width="7.85546875" customWidth="1"/>
    <col min="4095" max="4095" width="1.5703125" customWidth="1"/>
    <col min="4096" max="4096" width="56" customWidth="1"/>
    <col min="4106" max="4106" width="7.85546875" customWidth="1"/>
    <col min="4107" max="4107" width="11.42578125" customWidth="1"/>
    <col min="4108" max="4108" width="53" customWidth="1"/>
    <col min="4109" max="4109" width="18.140625" customWidth="1"/>
    <col min="4110" max="4110" width="18.28515625" customWidth="1"/>
    <col min="4111" max="4111" width="18.42578125" customWidth="1"/>
    <col min="4112" max="4112" width="20.5703125" customWidth="1"/>
    <col min="4113" max="4113" width="17.7109375" customWidth="1"/>
    <col min="4114" max="4114" width="20.7109375" customWidth="1"/>
    <col min="4115" max="4115" width="24.5703125" customWidth="1"/>
    <col min="4116" max="4116" width="26.140625" customWidth="1"/>
    <col min="4117" max="4117" width="41.5703125" customWidth="1"/>
    <col min="4118" max="4118" width="11.42578125" customWidth="1"/>
    <col min="4119" max="4119" width="47.85546875" customWidth="1"/>
    <col min="4120" max="4349" width="11.42578125" customWidth="1"/>
    <col min="4350" max="4350" width="7.85546875" customWidth="1"/>
    <col min="4351" max="4351" width="1.5703125" customWidth="1"/>
    <col min="4352" max="4352" width="56" customWidth="1"/>
    <col min="4362" max="4362" width="7.85546875" customWidth="1"/>
    <col min="4363" max="4363" width="11.42578125" customWidth="1"/>
    <col min="4364" max="4364" width="53" customWidth="1"/>
    <col min="4365" max="4365" width="18.140625" customWidth="1"/>
    <col min="4366" max="4366" width="18.28515625" customWidth="1"/>
    <col min="4367" max="4367" width="18.42578125" customWidth="1"/>
    <col min="4368" max="4368" width="20.5703125" customWidth="1"/>
    <col min="4369" max="4369" width="17.7109375" customWidth="1"/>
    <col min="4370" max="4370" width="20.7109375" customWidth="1"/>
    <col min="4371" max="4371" width="24.5703125" customWidth="1"/>
    <col min="4372" max="4372" width="26.140625" customWidth="1"/>
    <col min="4373" max="4373" width="41.5703125" customWidth="1"/>
    <col min="4374" max="4374" width="11.42578125" customWidth="1"/>
    <col min="4375" max="4375" width="47.85546875" customWidth="1"/>
    <col min="4376" max="4605" width="11.42578125" customWidth="1"/>
    <col min="4606" max="4606" width="7.85546875" customWidth="1"/>
    <col min="4607" max="4607" width="1.5703125" customWidth="1"/>
    <col min="4608" max="4608" width="56" customWidth="1"/>
    <col min="4618" max="4618" width="7.85546875" customWidth="1"/>
    <col min="4619" max="4619" width="11.42578125" customWidth="1"/>
    <col min="4620" max="4620" width="53" customWidth="1"/>
    <col min="4621" max="4621" width="18.140625" customWidth="1"/>
    <col min="4622" max="4622" width="18.28515625" customWidth="1"/>
    <col min="4623" max="4623" width="18.42578125" customWidth="1"/>
    <col min="4624" max="4624" width="20.5703125" customWidth="1"/>
    <col min="4625" max="4625" width="17.7109375" customWidth="1"/>
    <col min="4626" max="4626" width="20.7109375" customWidth="1"/>
    <col min="4627" max="4627" width="24.5703125" customWidth="1"/>
    <col min="4628" max="4628" width="26.140625" customWidth="1"/>
    <col min="4629" max="4629" width="41.5703125" customWidth="1"/>
    <col min="4630" max="4630" width="11.42578125" customWidth="1"/>
    <col min="4631" max="4631" width="47.85546875" customWidth="1"/>
    <col min="4632" max="4861" width="11.42578125" customWidth="1"/>
    <col min="4862" max="4862" width="7.85546875" customWidth="1"/>
    <col min="4863" max="4863" width="1.5703125" customWidth="1"/>
    <col min="4864" max="4864" width="56" customWidth="1"/>
    <col min="4874" max="4874" width="7.85546875" customWidth="1"/>
    <col min="4875" max="4875" width="11.42578125" customWidth="1"/>
    <col min="4876" max="4876" width="53" customWidth="1"/>
    <col min="4877" max="4877" width="18.140625" customWidth="1"/>
    <col min="4878" max="4878" width="18.28515625" customWidth="1"/>
    <col min="4879" max="4879" width="18.42578125" customWidth="1"/>
    <col min="4880" max="4880" width="20.5703125" customWidth="1"/>
    <col min="4881" max="4881" width="17.7109375" customWidth="1"/>
    <col min="4882" max="4882" width="20.7109375" customWidth="1"/>
    <col min="4883" max="4883" width="24.5703125" customWidth="1"/>
    <col min="4884" max="4884" width="26.140625" customWidth="1"/>
    <col min="4885" max="4885" width="41.5703125" customWidth="1"/>
    <col min="4886" max="4886" width="11.42578125" customWidth="1"/>
    <col min="4887" max="4887" width="47.85546875" customWidth="1"/>
    <col min="4888" max="5117" width="11.42578125" customWidth="1"/>
    <col min="5118" max="5118" width="7.85546875" customWidth="1"/>
    <col min="5119" max="5119" width="1.5703125" customWidth="1"/>
    <col min="5120" max="5120" width="56" customWidth="1"/>
    <col min="5130" max="5130" width="7.85546875" customWidth="1"/>
    <col min="5131" max="5131" width="11.42578125" customWidth="1"/>
    <col min="5132" max="5132" width="53" customWidth="1"/>
    <col min="5133" max="5133" width="18.140625" customWidth="1"/>
    <col min="5134" max="5134" width="18.28515625" customWidth="1"/>
    <col min="5135" max="5135" width="18.42578125" customWidth="1"/>
    <col min="5136" max="5136" width="20.5703125" customWidth="1"/>
    <col min="5137" max="5137" width="17.7109375" customWidth="1"/>
    <col min="5138" max="5138" width="20.7109375" customWidth="1"/>
    <col min="5139" max="5139" width="24.5703125" customWidth="1"/>
    <col min="5140" max="5140" width="26.140625" customWidth="1"/>
    <col min="5141" max="5141" width="41.5703125" customWidth="1"/>
    <col min="5142" max="5142" width="11.42578125" customWidth="1"/>
    <col min="5143" max="5143" width="47.85546875" customWidth="1"/>
    <col min="5144" max="5373" width="11.42578125" customWidth="1"/>
    <col min="5374" max="5374" width="7.85546875" customWidth="1"/>
    <col min="5375" max="5375" width="1.5703125" customWidth="1"/>
    <col min="5376" max="5376" width="56" customWidth="1"/>
    <col min="5386" max="5386" width="7.85546875" customWidth="1"/>
    <col min="5387" max="5387" width="11.42578125" customWidth="1"/>
    <col min="5388" max="5388" width="53" customWidth="1"/>
    <col min="5389" max="5389" width="18.140625" customWidth="1"/>
    <col min="5390" max="5390" width="18.28515625" customWidth="1"/>
    <col min="5391" max="5391" width="18.42578125" customWidth="1"/>
    <col min="5392" max="5392" width="20.5703125" customWidth="1"/>
    <col min="5393" max="5393" width="17.7109375" customWidth="1"/>
    <col min="5394" max="5394" width="20.7109375" customWidth="1"/>
    <col min="5395" max="5395" width="24.5703125" customWidth="1"/>
    <col min="5396" max="5396" width="26.140625" customWidth="1"/>
    <col min="5397" max="5397" width="41.5703125" customWidth="1"/>
    <col min="5398" max="5398" width="11.42578125" customWidth="1"/>
    <col min="5399" max="5399" width="47.85546875" customWidth="1"/>
    <col min="5400" max="5629" width="11.42578125" customWidth="1"/>
    <col min="5630" max="5630" width="7.85546875" customWidth="1"/>
    <col min="5631" max="5631" width="1.5703125" customWidth="1"/>
    <col min="5632" max="5632" width="56" customWidth="1"/>
    <col min="5642" max="5642" width="7.85546875" customWidth="1"/>
    <col min="5643" max="5643" width="11.42578125" customWidth="1"/>
    <col min="5644" max="5644" width="53" customWidth="1"/>
    <col min="5645" max="5645" width="18.140625" customWidth="1"/>
    <col min="5646" max="5646" width="18.28515625" customWidth="1"/>
    <col min="5647" max="5647" width="18.42578125" customWidth="1"/>
    <col min="5648" max="5648" width="20.5703125" customWidth="1"/>
    <col min="5649" max="5649" width="17.7109375" customWidth="1"/>
    <col min="5650" max="5650" width="20.7109375" customWidth="1"/>
    <col min="5651" max="5651" width="24.5703125" customWidth="1"/>
    <col min="5652" max="5652" width="26.140625" customWidth="1"/>
    <col min="5653" max="5653" width="41.5703125" customWidth="1"/>
    <col min="5654" max="5654" width="11.42578125" customWidth="1"/>
    <col min="5655" max="5655" width="47.85546875" customWidth="1"/>
    <col min="5656" max="5885" width="11.42578125" customWidth="1"/>
    <col min="5886" max="5886" width="7.85546875" customWidth="1"/>
    <col min="5887" max="5887" width="1.5703125" customWidth="1"/>
    <col min="5888" max="5888" width="56" customWidth="1"/>
    <col min="5898" max="5898" width="7.85546875" customWidth="1"/>
    <col min="5899" max="5899" width="11.42578125" customWidth="1"/>
    <col min="5900" max="5900" width="53" customWidth="1"/>
    <col min="5901" max="5901" width="18.140625" customWidth="1"/>
    <col min="5902" max="5902" width="18.28515625" customWidth="1"/>
    <col min="5903" max="5903" width="18.42578125" customWidth="1"/>
    <col min="5904" max="5904" width="20.5703125" customWidth="1"/>
    <col min="5905" max="5905" width="17.7109375" customWidth="1"/>
    <col min="5906" max="5906" width="20.7109375" customWidth="1"/>
    <col min="5907" max="5907" width="24.5703125" customWidth="1"/>
    <col min="5908" max="5908" width="26.140625" customWidth="1"/>
    <col min="5909" max="5909" width="41.5703125" customWidth="1"/>
    <col min="5910" max="5910" width="11.42578125" customWidth="1"/>
    <col min="5911" max="5911" width="47.85546875" customWidth="1"/>
    <col min="5912" max="6141" width="11.42578125" customWidth="1"/>
    <col min="6142" max="6142" width="7.85546875" customWidth="1"/>
    <col min="6143" max="6143" width="1.5703125" customWidth="1"/>
    <col min="6144" max="6144" width="56" customWidth="1"/>
    <col min="6154" max="6154" width="7.85546875" customWidth="1"/>
    <col min="6155" max="6155" width="11.42578125" customWidth="1"/>
    <col min="6156" max="6156" width="53" customWidth="1"/>
    <col min="6157" max="6157" width="18.140625" customWidth="1"/>
    <col min="6158" max="6158" width="18.28515625" customWidth="1"/>
    <col min="6159" max="6159" width="18.42578125" customWidth="1"/>
    <col min="6160" max="6160" width="20.5703125" customWidth="1"/>
    <col min="6161" max="6161" width="17.7109375" customWidth="1"/>
    <col min="6162" max="6162" width="20.7109375" customWidth="1"/>
    <col min="6163" max="6163" width="24.5703125" customWidth="1"/>
    <col min="6164" max="6164" width="26.140625" customWidth="1"/>
    <col min="6165" max="6165" width="41.5703125" customWidth="1"/>
    <col min="6166" max="6166" width="11.42578125" customWidth="1"/>
    <col min="6167" max="6167" width="47.85546875" customWidth="1"/>
    <col min="6168" max="6397" width="11.42578125" customWidth="1"/>
    <col min="6398" max="6398" width="7.85546875" customWidth="1"/>
    <col min="6399" max="6399" width="1.5703125" customWidth="1"/>
    <col min="6400" max="6400" width="56" customWidth="1"/>
    <col min="6410" max="6410" width="7.85546875" customWidth="1"/>
    <col min="6411" max="6411" width="11.42578125" customWidth="1"/>
    <col min="6412" max="6412" width="53" customWidth="1"/>
    <col min="6413" max="6413" width="18.140625" customWidth="1"/>
    <col min="6414" max="6414" width="18.28515625" customWidth="1"/>
    <col min="6415" max="6415" width="18.42578125" customWidth="1"/>
    <col min="6416" max="6416" width="20.5703125" customWidth="1"/>
    <col min="6417" max="6417" width="17.7109375" customWidth="1"/>
    <col min="6418" max="6418" width="20.7109375" customWidth="1"/>
    <col min="6419" max="6419" width="24.5703125" customWidth="1"/>
    <col min="6420" max="6420" width="26.140625" customWidth="1"/>
    <col min="6421" max="6421" width="41.5703125" customWidth="1"/>
    <col min="6422" max="6422" width="11.42578125" customWidth="1"/>
    <col min="6423" max="6423" width="47.85546875" customWidth="1"/>
    <col min="6424" max="6653" width="11.42578125" customWidth="1"/>
    <col min="6654" max="6654" width="7.85546875" customWidth="1"/>
    <col min="6655" max="6655" width="1.5703125" customWidth="1"/>
    <col min="6656" max="6656" width="56" customWidth="1"/>
    <col min="6666" max="6666" width="7.85546875" customWidth="1"/>
    <col min="6667" max="6667" width="11.42578125" customWidth="1"/>
    <col min="6668" max="6668" width="53" customWidth="1"/>
    <col min="6669" max="6669" width="18.140625" customWidth="1"/>
    <col min="6670" max="6670" width="18.28515625" customWidth="1"/>
    <col min="6671" max="6671" width="18.42578125" customWidth="1"/>
    <col min="6672" max="6672" width="20.5703125" customWidth="1"/>
    <col min="6673" max="6673" width="17.7109375" customWidth="1"/>
    <col min="6674" max="6674" width="20.7109375" customWidth="1"/>
    <col min="6675" max="6675" width="24.5703125" customWidth="1"/>
    <col min="6676" max="6676" width="26.140625" customWidth="1"/>
    <col min="6677" max="6677" width="41.5703125" customWidth="1"/>
    <col min="6678" max="6678" width="11.42578125" customWidth="1"/>
    <col min="6679" max="6679" width="47.85546875" customWidth="1"/>
    <col min="6680" max="6909" width="11.42578125" customWidth="1"/>
    <col min="6910" max="6910" width="7.85546875" customWidth="1"/>
    <col min="6911" max="6911" width="1.5703125" customWidth="1"/>
    <col min="6912" max="6912" width="56" customWidth="1"/>
    <col min="6922" max="6922" width="7.85546875" customWidth="1"/>
    <col min="6923" max="6923" width="11.42578125" customWidth="1"/>
    <col min="6924" max="6924" width="53" customWidth="1"/>
    <col min="6925" max="6925" width="18.140625" customWidth="1"/>
    <col min="6926" max="6926" width="18.28515625" customWidth="1"/>
    <col min="6927" max="6927" width="18.42578125" customWidth="1"/>
    <col min="6928" max="6928" width="20.5703125" customWidth="1"/>
    <col min="6929" max="6929" width="17.7109375" customWidth="1"/>
    <col min="6930" max="6930" width="20.7109375" customWidth="1"/>
    <col min="6931" max="6931" width="24.5703125" customWidth="1"/>
    <col min="6932" max="6932" width="26.140625" customWidth="1"/>
    <col min="6933" max="6933" width="41.5703125" customWidth="1"/>
    <col min="6934" max="6934" width="11.42578125" customWidth="1"/>
    <col min="6935" max="6935" width="47.85546875" customWidth="1"/>
    <col min="6936" max="7165" width="11.42578125" customWidth="1"/>
    <col min="7166" max="7166" width="7.85546875" customWidth="1"/>
    <col min="7167" max="7167" width="1.5703125" customWidth="1"/>
    <col min="7168" max="7168" width="56" customWidth="1"/>
    <col min="7178" max="7178" width="7.85546875" customWidth="1"/>
    <col min="7179" max="7179" width="11.42578125" customWidth="1"/>
    <col min="7180" max="7180" width="53" customWidth="1"/>
    <col min="7181" max="7181" width="18.140625" customWidth="1"/>
    <col min="7182" max="7182" width="18.28515625" customWidth="1"/>
    <col min="7183" max="7183" width="18.42578125" customWidth="1"/>
    <col min="7184" max="7184" width="20.5703125" customWidth="1"/>
    <col min="7185" max="7185" width="17.7109375" customWidth="1"/>
    <col min="7186" max="7186" width="20.7109375" customWidth="1"/>
    <col min="7187" max="7187" width="24.5703125" customWidth="1"/>
    <col min="7188" max="7188" width="26.140625" customWidth="1"/>
    <col min="7189" max="7189" width="41.5703125" customWidth="1"/>
    <col min="7190" max="7190" width="11.42578125" customWidth="1"/>
    <col min="7191" max="7191" width="47.85546875" customWidth="1"/>
    <col min="7192" max="7421" width="11.42578125" customWidth="1"/>
    <col min="7422" max="7422" width="7.85546875" customWidth="1"/>
    <col min="7423" max="7423" width="1.5703125" customWidth="1"/>
    <col min="7424" max="7424" width="56" customWidth="1"/>
    <col min="7434" max="7434" width="7.85546875" customWidth="1"/>
    <col min="7435" max="7435" width="11.42578125" customWidth="1"/>
    <col min="7436" max="7436" width="53" customWidth="1"/>
    <col min="7437" max="7437" width="18.140625" customWidth="1"/>
    <col min="7438" max="7438" width="18.28515625" customWidth="1"/>
    <col min="7439" max="7439" width="18.42578125" customWidth="1"/>
    <col min="7440" max="7440" width="20.5703125" customWidth="1"/>
    <col min="7441" max="7441" width="17.7109375" customWidth="1"/>
    <col min="7442" max="7442" width="20.7109375" customWidth="1"/>
    <col min="7443" max="7443" width="24.5703125" customWidth="1"/>
    <col min="7444" max="7444" width="26.140625" customWidth="1"/>
    <col min="7445" max="7445" width="41.5703125" customWidth="1"/>
    <col min="7446" max="7446" width="11.42578125" customWidth="1"/>
    <col min="7447" max="7447" width="47.85546875" customWidth="1"/>
    <col min="7448" max="7677" width="11.42578125" customWidth="1"/>
    <col min="7678" max="7678" width="7.85546875" customWidth="1"/>
    <col min="7679" max="7679" width="1.5703125" customWidth="1"/>
    <col min="7680" max="7680" width="56" customWidth="1"/>
    <col min="7690" max="7690" width="7.85546875" customWidth="1"/>
    <col min="7691" max="7691" width="11.42578125" customWidth="1"/>
    <col min="7692" max="7692" width="53" customWidth="1"/>
    <col min="7693" max="7693" width="18.140625" customWidth="1"/>
    <col min="7694" max="7694" width="18.28515625" customWidth="1"/>
    <col min="7695" max="7695" width="18.42578125" customWidth="1"/>
    <col min="7696" max="7696" width="20.5703125" customWidth="1"/>
    <col min="7697" max="7697" width="17.7109375" customWidth="1"/>
    <col min="7698" max="7698" width="20.7109375" customWidth="1"/>
    <col min="7699" max="7699" width="24.5703125" customWidth="1"/>
    <col min="7700" max="7700" width="26.140625" customWidth="1"/>
    <col min="7701" max="7701" width="41.5703125" customWidth="1"/>
    <col min="7702" max="7702" width="11.42578125" customWidth="1"/>
    <col min="7703" max="7703" width="47.85546875" customWidth="1"/>
    <col min="7704" max="7933" width="11.42578125" customWidth="1"/>
    <col min="7934" max="7934" width="7.85546875" customWidth="1"/>
    <col min="7935" max="7935" width="1.5703125" customWidth="1"/>
    <col min="7936" max="7936" width="56" customWidth="1"/>
    <col min="7946" max="7946" width="7.85546875" customWidth="1"/>
    <col min="7947" max="7947" width="11.42578125" customWidth="1"/>
    <col min="7948" max="7948" width="53" customWidth="1"/>
    <col min="7949" max="7949" width="18.140625" customWidth="1"/>
    <col min="7950" max="7950" width="18.28515625" customWidth="1"/>
    <col min="7951" max="7951" width="18.42578125" customWidth="1"/>
    <col min="7952" max="7952" width="20.5703125" customWidth="1"/>
    <col min="7953" max="7953" width="17.7109375" customWidth="1"/>
    <col min="7954" max="7954" width="20.7109375" customWidth="1"/>
    <col min="7955" max="7955" width="24.5703125" customWidth="1"/>
    <col min="7956" max="7956" width="26.140625" customWidth="1"/>
    <col min="7957" max="7957" width="41.5703125" customWidth="1"/>
    <col min="7958" max="7958" width="11.42578125" customWidth="1"/>
    <col min="7959" max="7959" width="47.85546875" customWidth="1"/>
    <col min="7960" max="8189" width="11.42578125" customWidth="1"/>
    <col min="8190" max="8190" width="7.85546875" customWidth="1"/>
    <col min="8191" max="8191" width="1.5703125" customWidth="1"/>
    <col min="8192" max="8192" width="56" customWidth="1"/>
    <col min="8202" max="8202" width="7.85546875" customWidth="1"/>
    <col min="8203" max="8203" width="11.42578125" customWidth="1"/>
    <col min="8204" max="8204" width="53" customWidth="1"/>
    <col min="8205" max="8205" width="18.140625" customWidth="1"/>
    <col min="8206" max="8206" width="18.28515625" customWidth="1"/>
    <col min="8207" max="8207" width="18.42578125" customWidth="1"/>
    <col min="8208" max="8208" width="20.5703125" customWidth="1"/>
    <col min="8209" max="8209" width="17.7109375" customWidth="1"/>
    <col min="8210" max="8210" width="20.7109375" customWidth="1"/>
    <col min="8211" max="8211" width="24.5703125" customWidth="1"/>
    <col min="8212" max="8212" width="26.140625" customWidth="1"/>
    <col min="8213" max="8213" width="41.5703125" customWidth="1"/>
    <col min="8214" max="8214" width="11.42578125" customWidth="1"/>
    <col min="8215" max="8215" width="47.85546875" customWidth="1"/>
    <col min="8216" max="8445" width="11.42578125" customWidth="1"/>
    <col min="8446" max="8446" width="7.85546875" customWidth="1"/>
    <col min="8447" max="8447" width="1.5703125" customWidth="1"/>
    <col min="8448" max="8448" width="56" customWidth="1"/>
    <col min="8458" max="8458" width="7.85546875" customWidth="1"/>
    <col min="8459" max="8459" width="11.42578125" customWidth="1"/>
    <col min="8460" max="8460" width="53" customWidth="1"/>
    <col min="8461" max="8461" width="18.140625" customWidth="1"/>
    <col min="8462" max="8462" width="18.28515625" customWidth="1"/>
    <col min="8463" max="8463" width="18.42578125" customWidth="1"/>
    <col min="8464" max="8464" width="20.5703125" customWidth="1"/>
    <col min="8465" max="8465" width="17.7109375" customWidth="1"/>
    <col min="8466" max="8466" width="20.7109375" customWidth="1"/>
    <col min="8467" max="8467" width="24.5703125" customWidth="1"/>
    <col min="8468" max="8468" width="26.140625" customWidth="1"/>
    <col min="8469" max="8469" width="41.5703125" customWidth="1"/>
    <col min="8470" max="8470" width="11.42578125" customWidth="1"/>
    <col min="8471" max="8471" width="47.85546875" customWidth="1"/>
    <col min="8472" max="8701" width="11.42578125" customWidth="1"/>
    <col min="8702" max="8702" width="7.85546875" customWidth="1"/>
    <col min="8703" max="8703" width="1.5703125" customWidth="1"/>
    <col min="8704" max="8704" width="56" customWidth="1"/>
    <col min="8714" max="8714" width="7.85546875" customWidth="1"/>
    <col min="8715" max="8715" width="11.42578125" customWidth="1"/>
    <col min="8716" max="8716" width="53" customWidth="1"/>
    <col min="8717" max="8717" width="18.140625" customWidth="1"/>
    <col min="8718" max="8718" width="18.28515625" customWidth="1"/>
    <col min="8719" max="8719" width="18.42578125" customWidth="1"/>
    <col min="8720" max="8720" width="20.5703125" customWidth="1"/>
    <col min="8721" max="8721" width="17.7109375" customWidth="1"/>
    <col min="8722" max="8722" width="20.7109375" customWidth="1"/>
    <col min="8723" max="8723" width="24.5703125" customWidth="1"/>
    <col min="8724" max="8724" width="26.140625" customWidth="1"/>
    <col min="8725" max="8725" width="41.5703125" customWidth="1"/>
    <col min="8726" max="8726" width="11.42578125" customWidth="1"/>
    <col min="8727" max="8727" width="47.85546875" customWidth="1"/>
    <col min="8728" max="8957" width="11.42578125" customWidth="1"/>
    <col min="8958" max="8958" width="7.85546875" customWidth="1"/>
    <col min="8959" max="8959" width="1.5703125" customWidth="1"/>
    <col min="8960" max="8960" width="56" customWidth="1"/>
    <col min="8970" max="8970" width="7.85546875" customWidth="1"/>
    <col min="8971" max="8971" width="11.42578125" customWidth="1"/>
    <col min="8972" max="8972" width="53" customWidth="1"/>
    <col min="8973" max="8973" width="18.140625" customWidth="1"/>
    <col min="8974" max="8974" width="18.28515625" customWidth="1"/>
    <col min="8975" max="8975" width="18.42578125" customWidth="1"/>
    <col min="8976" max="8976" width="20.5703125" customWidth="1"/>
    <col min="8977" max="8977" width="17.7109375" customWidth="1"/>
    <col min="8978" max="8978" width="20.7109375" customWidth="1"/>
    <col min="8979" max="8979" width="24.5703125" customWidth="1"/>
    <col min="8980" max="8980" width="26.140625" customWidth="1"/>
    <col min="8981" max="8981" width="41.5703125" customWidth="1"/>
    <col min="8982" max="8982" width="11.42578125" customWidth="1"/>
    <col min="8983" max="8983" width="47.85546875" customWidth="1"/>
    <col min="8984" max="9213" width="11.42578125" customWidth="1"/>
    <col min="9214" max="9214" width="7.85546875" customWidth="1"/>
    <col min="9215" max="9215" width="1.5703125" customWidth="1"/>
    <col min="9216" max="9216" width="56" customWidth="1"/>
    <col min="9226" max="9226" width="7.85546875" customWidth="1"/>
    <col min="9227" max="9227" width="11.42578125" customWidth="1"/>
    <col min="9228" max="9228" width="53" customWidth="1"/>
    <col min="9229" max="9229" width="18.140625" customWidth="1"/>
    <col min="9230" max="9230" width="18.28515625" customWidth="1"/>
    <col min="9231" max="9231" width="18.42578125" customWidth="1"/>
    <col min="9232" max="9232" width="20.5703125" customWidth="1"/>
    <col min="9233" max="9233" width="17.7109375" customWidth="1"/>
    <col min="9234" max="9234" width="20.7109375" customWidth="1"/>
    <col min="9235" max="9235" width="24.5703125" customWidth="1"/>
    <col min="9236" max="9236" width="26.140625" customWidth="1"/>
    <col min="9237" max="9237" width="41.5703125" customWidth="1"/>
    <col min="9238" max="9238" width="11.42578125" customWidth="1"/>
    <col min="9239" max="9239" width="47.85546875" customWidth="1"/>
    <col min="9240" max="9469" width="11.42578125" customWidth="1"/>
    <col min="9470" max="9470" width="7.85546875" customWidth="1"/>
    <col min="9471" max="9471" width="1.5703125" customWidth="1"/>
    <col min="9472" max="9472" width="56" customWidth="1"/>
    <col min="9482" max="9482" width="7.85546875" customWidth="1"/>
    <col min="9483" max="9483" width="11.42578125" customWidth="1"/>
    <col min="9484" max="9484" width="53" customWidth="1"/>
    <col min="9485" max="9485" width="18.140625" customWidth="1"/>
    <col min="9486" max="9486" width="18.28515625" customWidth="1"/>
    <col min="9487" max="9487" width="18.42578125" customWidth="1"/>
    <col min="9488" max="9488" width="20.5703125" customWidth="1"/>
    <col min="9489" max="9489" width="17.7109375" customWidth="1"/>
    <col min="9490" max="9490" width="20.7109375" customWidth="1"/>
    <col min="9491" max="9491" width="24.5703125" customWidth="1"/>
    <col min="9492" max="9492" width="26.140625" customWidth="1"/>
    <col min="9493" max="9493" width="41.5703125" customWidth="1"/>
    <col min="9494" max="9494" width="11.42578125" customWidth="1"/>
    <col min="9495" max="9495" width="47.85546875" customWidth="1"/>
    <col min="9496" max="9725" width="11.42578125" customWidth="1"/>
    <col min="9726" max="9726" width="7.85546875" customWidth="1"/>
    <col min="9727" max="9727" width="1.5703125" customWidth="1"/>
    <col min="9728" max="9728" width="56" customWidth="1"/>
    <col min="9738" max="9738" width="7.85546875" customWidth="1"/>
    <col min="9739" max="9739" width="11.42578125" customWidth="1"/>
    <col min="9740" max="9740" width="53" customWidth="1"/>
    <col min="9741" max="9741" width="18.140625" customWidth="1"/>
    <col min="9742" max="9742" width="18.28515625" customWidth="1"/>
    <col min="9743" max="9743" width="18.42578125" customWidth="1"/>
    <col min="9744" max="9744" width="20.5703125" customWidth="1"/>
    <col min="9745" max="9745" width="17.7109375" customWidth="1"/>
    <col min="9746" max="9746" width="20.7109375" customWidth="1"/>
    <col min="9747" max="9747" width="24.5703125" customWidth="1"/>
    <col min="9748" max="9748" width="26.140625" customWidth="1"/>
    <col min="9749" max="9749" width="41.5703125" customWidth="1"/>
    <col min="9750" max="9750" width="11.42578125" customWidth="1"/>
    <col min="9751" max="9751" width="47.85546875" customWidth="1"/>
    <col min="9752" max="9981" width="11.42578125" customWidth="1"/>
    <col min="9982" max="9982" width="7.85546875" customWidth="1"/>
    <col min="9983" max="9983" width="1.5703125" customWidth="1"/>
    <col min="9984" max="9984" width="56" customWidth="1"/>
    <col min="9994" max="9994" width="7.85546875" customWidth="1"/>
    <col min="9995" max="9995" width="11.42578125" customWidth="1"/>
    <col min="9996" max="9996" width="53" customWidth="1"/>
    <col min="9997" max="9997" width="18.140625" customWidth="1"/>
    <col min="9998" max="9998" width="18.28515625" customWidth="1"/>
    <col min="9999" max="9999" width="18.42578125" customWidth="1"/>
    <col min="10000" max="10000" width="20.5703125" customWidth="1"/>
    <col min="10001" max="10001" width="17.7109375" customWidth="1"/>
    <col min="10002" max="10002" width="20.7109375" customWidth="1"/>
    <col min="10003" max="10003" width="24.5703125" customWidth="1"/>
    <col min="10004" max="10004" width="26.140625" customWidth="1"/>
    <col min="10005" max="10005" width="41.5703125" customWidth="1"/>
    <col min="10006" max="10006" width="11.42578125" customWidth="1"/>
    <col min="10007" max="10007" width="47.85546875" customWidth="1"/>
    <col min="10008" max="10237" width="11.42578125" customWidth="1"/>
    <col min="10238" max="10238" width="7.85546875" customWidth="1"/>
    <col min="10239" max="10239" width="1.5703125" customWidth="1"/>
    <col min="10240" max="10240" width="56" customWidth="1"/>
    <col min="10250" max="10250" width="7.85546875" customWidth="1"/>
    <col min="10251" max="10251" width="11.42578125" customWidth="1"/>
    <col min="10252" max="10252" width="53" customWidth="1"/>
    <col min="10253" max="10253" width="18.140625" customWidth="1"/>
    <col min="10254" max="10254" width="18.28515625" customWidth="1"/>
    <col min="10255" max="10255" width="18.42578125" customWidth="1"/>
    <col min="10256" max="10256" width="20.5703125" customWidth="1"/>
    <col min="10257" max="10257" width="17.7109375" customWidth="1"/>
    <col min="10258" max="10258" width="20.7109375" customWidth="1"/>
    <col min="10259" max="10259" width="24.5703125" customWidth="1"/>
    <col min="10260" max="10260" width="26.140625" customWidth="1"/>
    <col min="10261" max="10261" width="41.5703125" customWidth="1"/>
    <col min="10262" max="10262" width="11.42578125" customWidth="1"/>
    <col min="10263" max="10263" width="47.85546875" customWidth="1"/>
    <col min="10264" max="10493" width="11.42578125" customWidth="1"/>
    <col min="10494" max="10494" width="7.85546875" customWidth="1"/>
    <col min="10495" max="10495" width="1.5703125" customWidth="1"/>
    <col min="10496" max="10496" width="56" customWidth="1"/>
    <col min="10506" max="10506" width="7.85546875" customWidth="1"/>
    <col min="10507" max="10507" width="11.42578125" customWidth="1"/>
    <col min="10508" max="10508" width="53" customWidth="1"/>
    <col min="10509" max="10509" width="18.140625" customWidth="1"/>
    <col min="10510" max="10510" width="18.28515625" customWidth="1"/>
    <col min="10511" max="10511" width="18.42578125" customWidth="1"/>
    <col min="10512" max="10512" width="20.5703125" customWidth="1"/>
    <col min="10513" max="10513" width="17.7109375" customWidth="1"/>
    <col min="10514" max="10514" width="20.7109375" customWidth="1"/>
    <col min="10515" max="10515" width="24.5703125" customWidth="1"/>
    <col min="10516" max="10516" width="26.140625" customWidth="1"/>
    <col min="10517" max="10517" width="41.5703125" customWidth="1"/>
    <col min="10518" max="10518" width="11.42578125" customWidth="1"/>
    <col min="10519" max="10519" width="47.85546875" customWidth="1"/>
    <col min="10520" max="10749" width="11.42578125" customWidth="1"/>
    <col min="10750" max="10750" width="7.85546875" customWidth="1"/>
    <col min="10751" max="10751" width="1.5703125" customWidth="1"/>
    <col min="10752" max="10752" width="56" customWidth="1"/>
    <col min="10762" max="10762" width="7.85546875" customWidth="1"/>
    <col min="10763" max="10763" width="11.42578125" customWidth="1"/>
    <col min="10764" max="10764" width="53" customWidth="1"/>
    <col min="10765" max="10765" width="18.140625" customWidth="1"/>
    <col min="10766" max="10766" width="18.28515625" customWidth="1"/>
    <col min="10767" max="10767" width="18.42578125" customWidth="1"/>
    <col min="10768" max="10768" width="20.5703125" customWidth="1"/>
    <col min="10769" max="10769" width="17.7109375" customWidth="1"/>
    <col min="10770" max="10770" width="20.7109375" customWidth="1"/>
    <col min="10771" max="10771" width="24.5703125" customWidth="1"/>
    <col min="10772" max="10772" width="26.140625" customWidth="1"/>
    <col min="10773" max="10773" width="41.5703125" customWidth="1"/>
    <col min="10774" max="10774" width="11.42578125" customWidth="1"/>
    <col min="10775" max="10775" width="47.85546875" customWidth="1"/>
    <col min="10776" max="11005" width="11.42578125" customWidth="1"/>
    <col min="11006" max="11006" width="7.85546875" customWidth="1"/>
    <col min="11007" max="11007" width="1.5703125" customWidth="1"/>
    <col min="11008" max="11008" width="56" customWidth="1"/>
    <col min="11018" max="11018" width="7.85546875" customWidth="1"/>
    <col min="11019" max="11019" width="11.42578125" customWidth="1"/>
    <col min="11020" max="11020" width="53" customWidth="1"/>
    <col min="11021" max="11021" width="18.140625" customWidth="1"/>
    <col min="11022" max="11022" width="18.28515625" customWidth="1"/>
    <col min="11023" max="11023" width="18.42578125" customWidth="1"/>
    <col min="11024" max="11024" width="20.5703125" customWidth="1"/>
    <col min="11025" max="11025" width="17.7109375" customWidth="1"/>
    <col min="11026" max="11026" width="20.7109375" customWidth="1"/>
    <col min="11027" max="11027" width="24.5703125" customWidth="1"/>
    <col min="11028" max="11028" width="26.140625" customWidth="1"/>
    <col min="11029" max="11029" width="41.5703125" customWidth="1"/>
    <col min="11030" max="11030" width="11.42578125" customWidth="1"/>
    <col min="11031" max="11031" width="47.85546875" customWidth="1"/>
    <col min="11032" max="11261" width="11.42578125" customWidth="1"/>
    <col min="11262" max="11262" width="7.85546875" customWidth="1"/>
    <col min="11263" max="11263" width="1.5703125" customWidth="1"/>
    <col min="11264" max="11264" width="56" customWidth="1"/>
    <col min="11274" max="11274" width="7.85546875" customWidth="1"/>
    <col min="11275" max="11275" width="11.42578125" customWidth="1"/>
    <col min="11276" max="11276" width="53" customWidth="1"/>
    <col min="11277" max="11277" width="18.140625" customWidth="1"/>
    <col min="11278" max="11278" width="18.28515625" customWidth="1"/>
    <col min="11279" max="11279" width="18.42578125" customWidth="1"/>
    <col min="11280" max="11280" width="20.5703125" customWidth="1"/>
    <col min="11281" max="11281" width="17.7109375" customWidth="1"/>
    <col min="11282" max="11282" width="20.7109375" customWidth="1"/>
    <col min="11283" max="11283" width="24.5703125" customWidth="1"/>
    <col min="11284" max="11284" width="26.140625" customWidth="1"/>
    <col min="11285" max="11285" width="41.5703125" customWidth="1"/>
    <col min="11286" max="11286" width="11.42578125" customWidth="1"/>
    <col min="11287" max="11287" width="47.85546875" customWidth="1"/>
    <col min="11288" max="11517" width="11.42578125" customWidth="1"/>
    <col min="11518" max="11518" width="7.85546875" customWidth="1"/>
    <col min="11519" max="11519" width="1.5703125" customWidth="1"/>
    <col min="11520" max="11520" width="56" customWidth="1"/>
    <col min="11530" max="11530" width="7.85546875" customWidth="1"/>
    <col min="11531" max="11531" width="11.42578125" customWidth="1"/>
    <col min="11532" max="11532" width="53" customWidth="1"/>
    <col min="11533" max="11533" width="18.140625" customWidth="1"/>
    <col min="11534" max="11534" width="18.28515625" customWidth="1"/>
    <col min="11535" max="11535" width="18.42578125" customWidth="1"/>
    <col min="11536" max="11536" width="20.5703125" customWidth="1"/>
    <col min="11537" max="11537" width="17.7109375" customWidth="1"/>
    <col min="11538" max="11538" width="20.7109375" customWidth="1"/>
    <col min="11539" max="11539" width="24.5703125" customWidth="1"/>
    <col min="11540" max="11540" width="26.140625" customWidth="1"/>
    <col min="11541" max="11541" width="41.5703125" customWidth="1"/>
    <col min="11542" max="11542" width="11.42578125" customWidth="1"/>
    <col min="11543" max="11543" width="47.85546875" customWidth="1"/>
    <col min="11544" max="11773" width="11.42578125" customWidth="1"/>
    <col min="11774" max="11774" width="7.85546875" customWidth="1"/>
    <col min="11775" max="11775" width="1.5703125" customWidth="1"/>
    <col min="11776" max="11776" width="56" customWidth="1"/>
    <col min="11786" max="11786" width="7.85546875" customWidth="1"/>
    <col min="11787" max="11787" width="11.42578125" customWidth="1"/>
    <col min="11788" max="11788" width="53" customWidth="1"/>
    <col min="11789" max="11789" width="18.140625" customWidth="1"/>
    <col min="11790" max="11790" width="18.28515625" customWidth="1"/>
    <col min="11791" max="11791" width="18.42578125" customWidth="1"/>
    <col min="11792" max="11792" width="20.5703125" customWidth="1"/>
    <col min="11793" max="11793" width="17.7109375" customWidth="1"/>
    <col min="11794" max="11794" width="20.7109375" customWidth="1"/>
    <col min="11795" max="11795" width="24.5703125" customWidth="1"/>
    <col min="11796" max="11796" width="26.140625" customWidth="1"/>
    <col min="11797" max="11797" width="41.5703125" customWidth="1"/>
    <col min="11798" max="11798" width="11.42578125" customWidth="1"/>
    <col min="11799" max="11799" width="47.85546875" customWidth="1"/>
    <col min="11800" max="12029" width="11.42578125" customWidth="1"/>
    <col min="12030" max="12030" width="7.85546875" customWidth="1"/>
    <col min="12031" max="12031" width="1.5703125" customWidth="1"/>
    <col min="12032" max="12032" width="56" customWidth="1"/>
    <col min="12042" max="12042" width="7.85546875" customWidth="1"/>
    <col min="12043" max="12043" width="11.42578125" customWidth="1"/>
    <col min="12044" max="12044" width="53" customWidth="1"/>
    <col min="12045" max="12045" width="18.140625" customWidth="1"/>
    <col min="12046" max="12046" width="18.28515625" customWidth="1"/>
    <col min="12047" max="12047" width="18.42578125" customWidth="1"/>
    <col min="12048" max="12048" width="20.5703125" customWidth="1"/>
    <col min="12049" max="12049" width="17.7109375" customWidth="1"/>
    <col min="12050" max="12050" width="20.7109375" customWidth="1"/>
    <col min="12051" max="12051" width="24.5703125" customWidth="1"/>
    <col min="12052" max="12052" width="26.140625" customWidth="1"/>
    <col min="12053" max="12053" width="41.5703125" customWidth="1"/>
    <col min="12054" max="12054" width="11.42578125" customWidth="1"/>
    <col min="12055" max="12055" width="47.85546875" customWidth="1"/>
    <col min="12056" max="12285" width="11.42578125" customWidth="1"/>
    <col min="12286" max="12286" width="7.85546875" customWidth="1"/>
    <col min="12287" max="12287" width="1.5703125" customWidth="1"/>
    <col min="12288" max="12288" width="56" customWidth="1"/>
    <col min="12298" max="12298" width="7.85546875" customWidth="1"/>
    <col min="12299" max="12299" width="11.42578125" customWidth="1"/>
    <col min="12300" max="12300" width="53" customWidth="1"/>
    <col min="12301" max="12301" width="18.140625" customWidth="1"/>
    <col min="12302" max="12302" width="18.28515625" customWidth="1"/>
    <col min="12303" max="12303" width="18.42578125" customWidth="1"/>
    <col min="12304" max="12304" width="20.5703125" customWidth="1"/>
    <col min="12305" max="12305" width="17.7109375" customWidth="1"/>
    <col min="12306" max="12306" width="20.7109375" customWidth="1"/>
    <col min="12307" max="12307" width="24.5703125" customWidth="1"/>
    <col min="12308" max="12308" width="26.140625" customWidth="1"/>
    <col min="12309" max="12309" width="41.5703125" customWidth="1"/>
    <col min="12310" max="12310" width="11.42578125" customWidth="1"/>
    <col min="12311" max="12311" width="47.85546875" customWidth="1"/>
    <col min="12312" max="12541" width="11.42578125" customWidth="1"/>
    <col min="12542" max="12542" width="7.85546875" customWidth="1"/>
    <col min="12543" max="12543" width="1.5703125" customWidth="1"/>
    <col min="12544" max="12544" width="56" customWidth="1"/>
    <col min="12554" max="12554" width="7.85546875" customWidth="1"/>
    <col min="12555" max="12555" width="11.42578125" customWidth="1"/>
    <col min="12556" max="12556" width="53" customWidth="1"/>
    <col min="12557" max="12557" width="18.140625" customWidth="1"/>
    <col min="12558" max="12558" width="18.28515625" customWidth="1"/>
    <col min="12559" max="12559" width="18.42578125" customWidth="1"/>
    <col min="12560" max="12560" width="20.5703125" customWidth="1"/>
    <col min="12561" max="12561" width="17.7109375" customWidth="1"/>
    <col min="12562" max="12562" width="20.7109375" customWidth="1"/>
    <col min="12563" max="12563" width="24.5703125" customWidth="1"/>
    <col min="12564" max="12564" width="26.140625" customWidth="1"/>
    <col min="12565" max="12565" width="41.5703125" customWidth="1"/>
    <col min="12566" max="12566" width="11.42578125" customWidth="1"/>
    <col min="12567" max="12567" width="47.85546875" customWidth="1"/>
    <col min="12568" max="12797" width="11.42578125" customWidth="1"/>
    <col min="12798" max="12798" width="7.85546875" customWidth="1"/>
    <col min="12799" max="12799" width="1.5703125" customWidth="1"/>
    <col min="12800" max="12800" width="56" customWidth="1"/>
    <col min="12810" max="12810" width="7.85546875" customWidth="1"/>
    <col min="12811" max="12811" width="11.42578125" customWidth="1"/>
    <col min="12812" max="12812" width="53" customWidth="1"/>
    <col min="12813" max="12813" width="18.140625" customWidth="1"/>
    <col min="12814" max="12814" width="18.28515625" customWidth="1"/>
    <col min="12815" max="12815" width="18.42578125" customWidth="1"/>
    <col min="12816" max="12816" width="20.5703125" customWidth="1"/>
    <col min="12817" max="12817" width="17.7109375" customWidth="1"/>
    <col min="12818" max="12818" width="20.7109375" customWidth="1"/>
    <col min="12819" max="12819" width="24.5703125" customWidth="1"/>
    <col min="12820" max="12820" width="26.140625" customWidth="1"/>
    <col min="12821" max="12821" width="41.5703125" customWidth="1"/>
    <col min="12822" max="12822" width="11.42578125" customWidth="1"/>
    <col min="12823" max="12823" width="47.85546875" customWidth="1"/>
    <col min="12824" max="13053" width="11.42578125" customWidth="1"/>
    <col min="13054" max="13054" width="7.85546875" customWidth="1"/>
    <col min="13055" max="13055" width="1.5703125" customWidth="1"/>
    <col min="13056" max="13056" width="56" customWidth="1"/>
    <col min="13066" max="13066" width="7.85546875" customWidth="1"/>
    <col min="13067" max="13067" width="11.42578125" customWidth="1"/>
    <col min="13068" max="13068" width="53" customWidth="1"/>
    <col min="13069" max="13069" width="18.140625" customWidth="1"/>
    <col min="13070" max="13070" width="18.28515625" customWidth="1"/>
    <col min="13071" max="13071" width="18.42578125" customWidth="1"/>
    <col min="13072" max="13072" width="20.5703125" customWidth="1"/>
    <col min="13073" max="13073" width="17.7109375" customWidth="1"/>
    <col min="13074" max="13074" width="20.7109375" customWidth="1"/>
    <col min="13075" max="13075" width="24.5703125" customWidth="1"/>
    <col min="13076" max="13076" width="26.140625" customWidth="1"/>
    <col min="13077" max="13077" width="41.5703125" customWidth="1"/>
    <col min="13078" max="13078" width="11.42578125" customWidth="1"/>
    <col min="13079" max="13079" width="47.85546875" customWidth="1"/>
    <col min="13080" max="13309" width="11.42578125" customWidth="1"/>
    <col min="13310" max="13310" width="7.85546875" customWidth="1"/>
    <col min="13311" max="13311" width="1.5703125" customWidth="1"/>
    <col min="13312" max="13312" width="56" customWidth="1"/>
    <col min="13322" max="13322" width="7.85546875" customWidth="1"/>
    <col min="13323" max="13323" width="11.42578125" customWidth="1"/>
    <col min="13324" max="13324" width="53" customWidth="1"/>
    <col min="13325" max="13325" width="18.140625" customWidth="1"/>
    <col min="13326" max="13326" width="18.28515625" customWidth="1"/>
    <col min="13327" max="13327" width="18.42578125" customWidth="1"/>
    <col min="13328" max="13328" width="20.5703125" customWidth="1"/>
    <col min="13329" max="13329" width="17.7109375" customWidth="1"/>
    <col min="13330" max="13330" width="20.7109375" customWidth="1"/>
    <col min="13331" max="13331" width="24.5703125" customWidth="1"/>
    <col min="13332" max="13332" width="26.140625" customWidth="1"/>
    <col min="13333" max="13333" width="41.5703125" customWidth="1"/>
    <col min="13334" max="13334" width="11.42578125" customWidth="1"/>
    <col min="13335" max="13335" width="47.85546875" customWidth="1"/>
    <col min="13336" max="13565" width="11.42578125" customWidth="1"/>
    <col min="13566" max="13566" width="7.85546875" customWidth="1"/>
    <col min="13567" max="13567" width="1.5703125" customWidth="1"/>
    <col min="13568" max="13568" width="56" customWidth="1"/>
    <col min="13578" max="13578" width="7.85546875" customWidth="1"/>
    <col min="13579" max="13579" width="11.42578125" customWidth="1"/>
    <col min="13580" max="13580" width="53" customWidth="1"/>
    <col min="13581" max="13581" width="18.140625" customWidth="1"/>
    <col min="13582" max="13582" width="18.28515625" customWidth="1"/>
    <col min="13583" max="13583" width="18.42578125" customWidth="1"/>
    <col min="13584" max="13584" width="20.5703125" customWidth="1"/>
    <col min="13585" max="13585" width="17.7109375" customWidth="1"/>
    <col min="13586" max="13586" width="20.7109375" customWidth="1"/>
    <col min="13587" max="13587" width="24.5703125" customWidth="1"/>
    <col min="13588" max="13588" width="26.140625" customWidth="1"/>
    <col min="13589" max="13589" width="41.5703125" customWidth="1"/>
    <col min="13590" max="13590" width="11.42578125" customWidth="1"/>
    <col min="13591" max="13591" width="47.85546875" customWidth="1"/>
    <col min="13592" max="13821" width="11.42578125" customWidth="1"/>
    <col min="13822" max="13822" width="7.85546875" customWidth="1"/>
    <col min="13823" max="13823" width="1.5703125" customWidth="1"/>
    <col min="13824" max="13824" width="56" customWidth="1"/>
    <col min="13834" max="13834" width="7.85546875" customWidth="1"/>
    <col min="13835" max="13835" width="11.42578125" customWidth="1"/>
    <col min="13836" max="13836" width="53" customWidth="1"/>
    <col min="13837" max="13837" width="18.140625" customWidth="1"/>
    <col min="13838" max="13838" width="18.28515625" customWidth="1"/>
    <col min="13839" max="13839" width="18.42578125" customWidth="1"/>
    <col min="13840" max="13840" width="20.5703125" customWidth="1"/>
    <col min="13841" max="13841" width="17.7109375" customWidth="1"/>
    <col min="13842" max="13842" width="20.7109375" customWidth="1"/>
    <col min="13843" max="13843" width="24.5703125" customWidth="1"/>
    <col min="13844" max="13844" width="26.140625" customWidth="1"/>
    <col min="13845" max="13845" width="41.5703125" customWidth="1"/>
    <col min="13846" max="13846" width="11.42578125" customWidth="1"/>
    <col min="13847" max="13847" width="47.85546875" customWidth="1"/>
    <col min="13848" max="14077" width="11.42578125" customWidth="1"/>
    <col min="14078" max="14078" width="7.85546875" customWidth="1"/>
    <col min="14079" max="14079" width="1.5703125" customWidth="1"/>
    <col min="14080" max="14080" width="56" customWidth="1"/>
    <col min="14090" max="14090" width="7.85546875" customWidth="1"/>
    <col min="14091" max="14091" width="11.42578125" customWidth="1"/>
    <col min="14092" max="14092" width="53" customWidth="1"/>
    <col min="14093" max="14093" width="18.140625" customWidth="1"/>
    <col min="14094" max="14094" width="18.28515625" customWidth="1"/>
    <col min="14095" max="14095" width="18.42578125" customWidth="1"/>
    <col min="14096" max="14096" width="20.5703125" customWidth="1"/>
    <col min="14097" max="14097" width="17.7109375" customWidth="1"/>
    <col min="14098" max="14098" width="20.7109375" customWidth="1"/>
    <col min="14099" max="14099" width="24.5703125" customWidth="1"/>
    <col min="14100" max="14100" width="26.140625" customWidth="1"/>
    <col min="14101" max="14101" width="41.5703125" customWidth="1"/>
    <col min="14102" max="14102" width="11.42578125" customWidth="1"/>
    <col min="14103" max="14103" width="47.85546875" customWidth="1"/>
    <col min="14104" max="14333" width="11.42578125" customWidth="1"/>
    <col min="14334" max="14334" width="7.85546875" customWidth="1"/>
    <col min="14335" max="14335" width="1.5703125" customWidth="1"/>
    <col min="14336" max="14336" width="56" customWidth="1"/>
    <col min="14346" max="14346" width="7.85546875" customWidth="1"/>
    <col min="14347" max="14347" width="11.42578125" customWidth="1"/>
    <col min="14348" max="14348" width="53" customWidth="1"/>
    <col min="14349" max="14349" width="18.140625" customWidth="1"/>
    <col min="14350" max="14350" width="18.28515625" customWidth="1"/>
    <col min="14351" max="14351" width="18.42578125" customWidth="1"/>
    <col min="14352" max="14352" width="20.5703125" customWidth="1"/>
    <col min="14353" max="14353" width="17.7109375" customWidth="1"/>
    <col min="14354" max="14354" width="20.7109375" customWidth="1"/>
    <col min="14355" max="14355" width="24.5703125" customWidth="1"/>
    <col min="14356" max="14356" width="26.140625" customWidth="1"/>
    <col min="14357" max="14357" width="41.5703125" customWidth="1"/>
    <col min="14358" max="14358" width="11.42578125" customWidth="1"/>
    <col min="14359" max="14359" width="47.85546875" customWidth="1"/>
    <col min="14360" max="14589" width="11.42578125" customWidth="1"/>
    <col min="14590" max="14590" width="7.85546875" customWidth="1"/>
    <col min="14591" max="14591" width="1.5703125" customWidth="1"/>
    <col min="14592" max="14592" width="56" customWidth="1"/>
    <col min="14602" max="14602" width="7.85546875" customWidth="1"/>
    <col min="14603" max="14603" width="11.42578125" customWidth="1"/>
    <col min="14604" max="14604" width="53" customWidth="1"/>
    <col min="14605" max="14605" width="18.140625" customWidth="1"/>
    <col min="14606" max="14606" width="18.28515625" customWidth="1"/>
    <col min="14607" max="14607" width="18.42578125" customWidth="1"/>
    <col min="14608" max="14608" width="20.5703125" customWidth="1"/>
    <col min="14609" max="14609" width="17.7109375" customWidth="1"/>
    <col min="14610" max="14610" width="20.7109375" customWidth="1"/>
    <col min="14611" max="14611" width="24.5703125" customWidth="1"/>
    <col min="14612" max="14612" width="26.140625" customWidth="1"/>
    <col min="14613" max="14613" width="41.5703125" customWidth="1"/>
    <col min="14614" max="14614" width="11.42578125" customWidth="1"/>
    <col min="14615" max="14615" width="47.85546875" customWidth="1"/>
    <col min="14616" max="14845" width="11.42578125" customWidth="1"/>
    <col min="14846" max="14846" width="7.85546875" customWidth="1"/>
    <col min="14847" max="14847" width="1.5703125" customWidth="1"/>
    <col min="14848" max="14848" width="56" customWidth="1"/>
    <col min="14858" max="14858" width="7.85546875" customWidth="1"/>
    <col min="14859" max="14859" width="11.42578125" customWidth="1"/>
    <col min="14860" max="14860" width="53" customWidth="1"/>
    <col min="14861" max="14861" width="18.140625" customWidth="1"/>
    <col min="14862" max="14862" width="18.28515625" customWidth="1"/>
    <col min="14863" max="14863" width="18.42578125" customWidth="1"/>
    <col min="14864" max="14864" width="20.5703125" customWidth="1"/>
    <col min="14865" max="14865" width="17.7109375" customWidth="1"/>
    <col min="14866" max="14866" width="20.7109375" customWidth="1"/>
    <col min="14867" max="14867" width="24.5703125" customWidth="1"/>
    <col min="14868" max="14868" width="26.140625" customWidth="1"/>
    <col min="14869" max="14869" width="41.5703125" customWidth="1"/>
    <col min="14870" max="14870" width="11.42578125" customWidth="1"/>
    <col min="14871" max="14871" width="47.85546875" customWidth="1"/>
    <col min="14872" max="15101" width="11.42578125" customWidth="1"/>
    <col min="15102" max="15102" width="7.85546875" customWidth="1"/>
    <col min="15103" max="15103" width="1.5703125" customWidth="1"/>
    <col min="15104" max="15104" width="56" customWidth="1"/>
    <col min="15114" max="15114" width="7.85546875" customWidth="1"/>
    <col min="15115" max="15115" width="11.42578125" customWidth="1"/>
    <col min="15116" max="15116" width="53" customWidth="1"/>
    <col min="15117" max="15117" width="18.140625" customWidth="1"/>
    <col min="15118" max="15118" width="18.28515625" customWidth="1"/>
    <col min="15119" max="15119" width="18.42578125" customWidth="1"/>
    <col min="15120" max="15120" width="20.5703125" customWidth="1"/>
    <col min="15121" max="15121" width="17.7109375" customWidth="1"/>
    <col min="15122" max="15122" width="20.7109375" customWidth="1"/>
    <col min="15123" max="15123" width="24.5703125" customWidth="1"/>
    <col min="15124" max="15124" width="26.140625" customWidth="1"/>
    <col min="15125" max="15125" width="41.5703125" customWidth="1"/>
    <col min="15126" max="15126" width="11.42578125" customWidth="1"/>
    <col min="15127" max="15127" width="47.85546875" customWidth="1"/>
    <col min="15128" max="15357" width="11.42578125" customWidth="1"/>
    <col min="15358" max="15358" width="7.85546875" customWidth="1"/>
    <col min="15359" max="15359" width="1.5703125" customWidth="1"/>
    <col min="15360" max="15360" width="56" customWidth="1"/>
    <col min="15370" max="15370" width="7.85546875" customWidth="1"/>
    <col min="15371" max="15371" width="11.42578125" customWidth="1"/>
    <col min="15372" max="15372" width="53" customWidth="1"/>
    <col min="15373" max="15373" width="18.140625" customWidth="1"/>
    <col min="15374" max="15374" width="18.28515625" customWidth="1"/>
    <col min="15375" max="15375" width="18.42578125" customWidth="1"/>
    <col min="15376" max="15376" width="20.5703125" customWidth="1"/>
    <col min="15377" max="15377" width="17.7109375" customWidth="1"/>
    <col min="15378" max="15378" width="20.7109375" customWidth="1"/>
    <col min="15379" max="15379" width="24.5703125" customWidth="1"/>
    <col min="15380" max="15380" width="26.140625" customWidth="1"/>
    <col min="15381" max="15381" width="41.5703125" customWidth="1"/>
    <col min="15382" max="15382" width="11.42578125" customWidth="1"/>
    <col min="15383" max="15383" width="47.85546875" customWidth="1"/>
    <col min="15384" max="15613" width="11.42578125" customWidth="1"/>
    <col min="15614" max="15614" width="7.85546875" customWidth="1"/>
    <col min="15615" max="15615" width="1.5703125" customWidth="1"/>
    <col min="15616" max="15616" width="56" customWidth="1"/>
    <col min="15626" max="15626" width="7.85546875" customWidth="1"/>
    <col min="15627" max="15627" width="11.42578125" customWidth="1"/>
    <col min="15628" max="15628" width="53" customWidth="1"/>
    <col min="15629" max="15629" width="18.140625" customWidth="1"/>
    <col min="15630" max="15630" width="18.28515625" customWidth="1"/>
    <col min="15631" max="15631" width="18.42578125" customWidth="1"/>
    <col min="15632" max="15632" width="20.5703125" customWidth="1"/>
    <col min="15633" max="15633" width="17.7109375" customWidth="1"/>
    <col min="15634" max="15634" width="20.7109375" customWidth="1"/>
    <col min="15635" max="15635" width="24.5703125" customWidth="1"/>
    <col min="15636" max="15636" width="26.140625" customWidth="1"/>
    <col min="15637" max="15637" width="41.5703125" customWidth="1"/>
    <col min="15638" max="15638" width="11.42578125" customWidth="1"/>
    <col min="15639" max="15639" width="47.85546875" customWidth="1"/>
    <col min="15640" max="15869" width="11.42578125" customWidth="1"/>
    <col min="15870" max="15870" width="7.85546875" customWidth="1"/>
    <col min="15871" max="15871" width="1.5703125" customWidth="1"/>
    <col min="15872" max="15872" width="56" customWidth="1"/>
    <col min="15882" max="15882" width="7.85546875" customWidth="1"/>
    <col min="15883" max="15883" width="11.42578125" customWidth="1"/>
    <col min="15884" max="15884" width="53" customWidth="1"/>
    <col min="15885" max="15885" width="18.140625" customWidth="1"/>
    <col min="15886" max="15886" width="18.28515625" customWidth="1"/>
    <col min="15887" max="15887" width="18.42578125" customWidth="1"/>
    <col min="15888" max="15888" width="20.5703125" customWidth="1"/>
    <col min="15889" max="15889" width="17.7109375" customWidth="1"/>
    <col min="15890" max="15890" width="20.7109375" customWidth="1"/>
    <col min="15891" max="15891" width="24.5703125" customWidth="1"/>
    <col min="15892" max="15892" width="26.140625" customWidth="1"/>
    <col min="15893" max="15893" width="41.5703125" customWidth="1"/>
    <col min="15894" max="15894" width="11.42578125" customWidth="1"/>
    <col min="15895" max="15895" width="47.85546875" customWidth="1"/>
    <col min="15896" max="16125" width="11.42578125" customWidth="1"/>
    <col min="16126" max="16126" width="7.85546875" customWidth="1"/>
    <col min="16127" max="16127" width="1.5703125" customWidth="1"/>
    <col min="16128" max="16128" width="56" customWidth="1"/>
    <col min="16138" max="16138" width="7.85546875" customWidth="1"/>
    <col min="16139" max="16139" width="11.42578125" customWidth="1"/>
    <col min="16140" max="16140" width="53" customWidth="1"/>
    <col min="16141" max="16141" width="18.140625" customWidth="1"/>
    <col min="16142" max="16142" width="18.28515625" customWidth="1"/>
    <col min="16143" max="16143" width="18.42578125" customWidth="1"/>
    <col min="16144" max="16144" width="20.5703125" customWidth="1"/>
    <col min="16145" max="16145" width="17.7109375" customWidth="1"/>
    <col min="16146" max="16146" width="20.7109375" customWidth="1"/>
    <col min="16147" max="16147" width="24.5703125" customWidth="1"/>
    <col min="16148" max="16148" width="26.140625" customWidth="1"/>
    <col min="16149" max="16149" width="41.5703125" customWidth="1"/>
    <col min="16150" max="16150" width="11.42578125" customWidth="1"/>
    <col min="16151" max="16151" width="47.85546875" customWidth="1"/>
    <col min="16152" max="16381" width="11.42578125" customWidth="1"/>
    <col min="16382" max="16382" width="7.85546875" customWidth="1"/>
    <col min="16383" max="16383" width="1.5703125" customWidth="1"/>
    <col min="16384" max="16384" width="56" customWidth="1"/>
  </cols>
  <sheetData>
    <row r="1" spans="1:42" ht="21" hidden="1" thickBot="1">
      <c r="B1" s="316"/>
      <c r="C1" s="316"/>
      <c r="D1" s="316" t="s">
        <v>29</v>
      </c>
      <c r="E1" s="316"/>
      <c r="F1" s="692"/>
      <c r="G1" s="732"/>
      <c r="H1" s="316"/>
      <c r="I1" s="316"/>
      <c r="J1" s="316"/>
      <c r="K1" s="316"/>
      <c r="L1" s="316"/>
      <c r="M1" s="513">
        <v>43088</v>
      </c>
      <c r="P1"/>
    </row>
    <row r="2" spans="1:42" ht="41.25" hidden="1">
      <c r="B2" s="997" t="s">
        <v>0</v>
      </c>
      <c r="C2" s="997"/>
      <c r="D2" s="997"/>
      <c r="E2" s="997"/>
      <c r="F2" s="997"/>
      <c r="G2" s="997"/>
      <c r="H2" s="997"/>
      <c r="I2" s="997"/>
      <c r="J2" s="997"/>
      <c r="K2" s="997"/>
      <c r="L2" s="997"/>
      <c r="M2" s="997"/>
      <c r="P2"/>
    </row>
    <row r="3" spans="1:42" ht="27.6" hidden="1" customHeight="1">
      <c r="B3" s="671"/>
      <c r="C3" s="671"/>
      <c r="D3" s="670" t="s">
        <v>1402</v>
      </c>
      <c r="E3" s="326" t="s">
        <v>1354</v>
      </c>
      <c r="F3" s="671"/>
      <c r="G3" s="733"/>
      <c r="H3" s="131" t="s">
        <v>116</v>
      </c>
      <c r="I3" s="127" t="s">
        <v>111</v>
      </c>
      <c r="J3" s="127" t="s">
        <v>112</v>
      </c>
      <c r="K3" s="127" t="s">
        <v>107</v>
      </c>
      <c r="L3" s="127" t="s">
        <v>104</v>
      </c>
      <c r="M3" s="671"/>
      <c r="N3" s="133" t="s">
        <v>116</v>
      </c>
      <c r="O3" s="133" t="s">
        <v>111</v>
      </c>
      <c r="P3" s="133" t="s">
        <v>112</v>
      </c>
      <c r="Q3" s="133" t="s">
        <v>107</v>
      </c>
      <c r="R3" s="133" t="s">
        <v>104</v>
      </c>
      <c r="S3" s="182"/>
    </row>
    <row r="4" spans="1:42" ht="22.9" hidden="1" customHeight="1">
      <c r="B4" s="671"/>
      <c r="C4" s="671"/>
      <c r="D4" s="1009" t="s">
        <v>1410</v>
      </c>
      <c r="E4" s="326" t="s">
        <v>1355</v>
      </c>
      <c r="F4" s="671"/>
      <c r="G4" s="733"/>
      <c r="H4" s="1010">
        <f>+J9-78125582.94-64861287.32-33029964.94-179006422.97-73403178.73</f>
        <v>-233993.73999996483</v>
      </c>
      <c r="I4" s="150" t="s">
        <v>109</v>
      </c>
      <c r="J4" s="137">
        <f>+H699+I699+J699</f>
        <v>179006422.97000003</v>
      </c>
      <c r="K4" s="317">
        <f>+N459+N470+N477+O549+O564+O569+P684+P695</f>
        <v>125656647.70999999</v>
      </c>
      <c r="L4" s="128">
        <f>+J4-K4</f>
        <v>53349775.260000035</v>
      </c>
      <c r="M4" s="671"/>
      <c r="N4" s="133"/>
      <c r="O4" s="133"/>
      <c r="P4" s="133"/>
      <c r="Q4" s="133"/>
      <c r="R4" s="133"/>
      <c r="S4" s="182"/>
      <c r="T4" s="530" t="s">
        <v>29</v>
      </c>
    </row>
    <row r="5" spans="1:42" ht="24.6" hidden="1" customHeight="1">
      <c r="B5" s="671"/>
      <c r="C5" s="671"/>
      <c r="D5" s="1009"/>
      <c r="E5" s="671"/>
      <c r="F5" s="671"/>
      <c r="G5" s="733"/>
      <c r="H5" s="1010"/>
      <c r="I5" s="320" t="s">
        <v>761</v>
      </c>
      <c r="J5" s="312">
        <f>+J747</f>
        <v>73403178.730000004</v>
      </c>
      <c r="K5" s="314">
        <f>+P747</f>
        <v>71802695.049999997</v>
      </c>
      <c r="L5" s="311">
        <f>+J5-K5</f>
        <v>1600483.6800000072</v>
      </c>
      <c r="M5" s="319"/>
      <c r="N5" s="1012">
        <f>+P8-150837583.58-44855258.62-73201684.53</f>
        <v>-1.999974250793457E-3</v>
      </c>
      <c r="O5" s="310" t="s">
        <v>104</v>
      </c>
      <c r="P5" s="315">
        <f>+K815+L835</f>
        <v>73201684.527999997</v>
      </c>
      <c r="Q5" s="315">
        <f>+Q815+R835</f>
        <v>78243778.879999995</v>
      </c>
      <c r="R5" s="315">
        <f>+P5-Q5</f>
        <v>-5042094.3519999981</v>
      </c>
      <c r="S5" s="313"/>
      <c r="T5" s="529"/>
    </row>
    <row r="6" spans="1:42" ht="36" hidden="1" customHeight="1">
      <c r="B6" s="671"/>
      <c r="C6" s="671"/>
      <c r="D6" s="1009"/>
      <c r="E6" s="1013" t="s">
        <v>1419</v>
      </c>
      <c r="F6" s="1013"/>
      <c r="G6" s="734"/>
      <c r="H6" s="1010"/>
      <c r="I6" s="150" t="s">
        <v>113</v>
      </c>
      <c r="J6" s="140">
        <f>+J20+J26+J60+J68+J75+J102+J113+J132+J174+J242+J263+J300+J340-67763535</f>
        <v>33029964.939999998</v>
      </c>
      <c r="K6" s="317">
        <f>+P20+P26+P60+P68+P75+P102+P113+P132+P174+P242+P263+P300+P340</f>
        <v>11637051.790000003</v>
      </c>
      <c r="L6" s="128">
        <f>+J6-K6</f>
        <v>21392913.149999995</v>
      </c>
      <c r="M6" s="319"/>
      <c r="N6" s="1012"/>
      <c r="O6" s="132" t="s">
        <v>117</v>
      </c>
      <c r="P6" s="315">
        <f>+K20+K26+K60+K68+K75+K102+K113+K132+K174+K242+K263+K300+K340</f>
        <v>150837583.58000001</v>
      </c>
      <c r="Q6" s="315">
        <f>+Q20+Q26+Q60+Q68+Q75+Q102+Q113+Q132+Q174+Q242+Q263+Q300+Q340</f>
        <v>16264521.030000001</v>
      </c>
      <c r="R6" s="315">
        <f>+P6-Q6</f>
        <v>134573062.55000001</v>
      </c>
      <c r="V6">
        <v>2533417.39</v>
      </c>
    </row>
    <row r="7" spans="1:42" ht="22.9" hidden="1" customHeight="1">
      <c r="B7" s="671"/>
      <c r="C7" s="671"/>
      <c r="D7" s="611" t="s">
        <v>29</v>
      </c>
      <c r="E7" s="671"/>
      <c r="F7" s="671"/>
      <c r="G7" s="733"/>
      <c r="H7" s="1010"/>
      <c r="I7" s="150" t="s">
        <v>114</v>
      </c>
      <c r="J7" s="142">
        <f>+H20+H26+H60+H68+H75+H102+H113+H132+H174+H242+H263+H300+H340</f>
        <v>78125582.939999998</v>
      </c>
      <c r="K7" s="317">
        <f>+N20+N26+N60+N68+N75+N102+N113+N132+N174+N242+N263+N300+N340</f>
        <v>47072728.439999998</v>
      </c>
      <c r="L7" s="130">
        <f>+J7-K7</f>
        <v>31052854.5</v>
      </c>
      <c r="M7" s="671"/>
      <c r="N7" s="1012"/>
      <c r="O7" s="132" t="s">
        <v>118</v>
      </c>
      <c r="P7" s="315">
        <f>+L20+L26+L60+L68+L75+L102+L113+L132+L174+L242+L263+L300+L340</f>
        <v>44855258.620000005</v>
      </c>
      <c r="Q7" s="315">
        <f>+R20+R26+R60+R68+R75+R102+R113+R132+R174+R242+R263+R300+R340</f>
        <v>9588131.3200000003</v>
      </c>
      <c r="R7" s="315">
        <f>+P7-Q7</f>
        <v>35267127.300000004</v>
      </c>
      <c r="S7" s="511">
        <f>+Q6+Q7+K6+K7+K8+K5</f>
        <v>195773497.75999999</v>
      </c>
      <c r="T7" s="182"/>
    </row>
    <row r="8" spans="1:42" ht="20.45" hidden="1" customHeight="1">
      <c r="B8" s="671"/>
      <c r="C8" s="368" t="s">
        <v>838</v>
      </c>
      <c r="D8" s="610">
        <v>43119</v>
      </c>
      <c r="E8" s="427" t="s">
        <v>29</v>
      </c>
      <c r="F8" s="671"/>
      <c r="G8" s="733"/>
      <c r="H8" s="1011"/>
      <c r="I8" s="151" t="s">
        <v>115</v>
      </c>
      <c r="J8" s="129">
        <f>+I20+I26+I60+I68+I75+I102+I113+I132+I174+I242+I263+I300+I340</f>
        <v>64627293.579999991</v>
      </c>
      <c r="K8" s="318">
        <f>+O20+O26+O60+O68+O75+O102+O113+O132+O174+O242+O263+O300+O340</f>
        <v>39408370.129999995</v>
      </c>
      <c r="L8" s="128">
        <f>+J8-K8</f>
        <v>25218923.449999996</v>
      </c>
      <c r="M8" s="185" t="s">
        <v>29</v>
      </c>
      <c r="N8" s="134"/>
      <c r="O8" s="135" t="s">
        <v>6</v>
      </c>
      <c r="P8" s="136">
        <f>SUM(P5:P7)</f>
        <v>268894526.72800004</v>
      </c>
      <c r="Q8" s="136">
        <f>SUM(Q6:Q7)</f>
        <v>25852652.350000001</v>
      </c>
      <c r="R8" s="136">
        <f>SUM(R6:R7)</f>
        <v>169840189.85000002</v>
      </c>
      <c r="T8" s="529"/>
    </row>
    <row r="9" spans="1:42" ht="22.9" hidden="1" customHeight="1">
      <c r="B9" s="671"/>
      <c r="C9" s="671"/>
      <c r="D9" s="442" t="s">
        <v>29</v>
      </c>
      <c r="E9" s="443" t="s">
        <v>29</v>
      </c>
      <c r="F9" s="671"/>
      <c r="G9" s="733"/>
      <c r="H9" s="149">
        <v>2017</v>
      </c>
      <c r="I9" s="125" t="s">
        <v>6</v>
      </c>
      <c r="J9" s="126">
        <f>SUM(J4:J8)</f>
        <v>428192443.16000003</v>
      </c>
      <c r="K9" s="126">
        <f>SUM(K4:K8)</f>
        <v>295577493.12</v>
      </c>
      <c r="L9" s="126">
        <f>SUM(L4:L8)</f>
        <v>132614950.04000002</v>
      </c>
      <c r="M9" s="671"/>
      <c r="O9" s="182">
        <f>+M343+M837</f>
        <v>697320963.62800002</v>
      </c>
      <c r="P9" s="182">
        <f>+P8+J9</f>
        <v>697086969.88800001</v>
      </c>
    </row>
    <row r="10" spans="1:42" ht="19.5" thickBot="1">
      <c r="B10" s="12"/>
      <c r="C10" s="12"/>
      <c r="D10" s="248"/>
      <c r="E10" s="4"/>
      <c r="F10" s="554"/>
      <c r="G10" s="735"/>
      <c r="H10" s="5"/>
      <c r="I10" s="5"/>
      <c r="J10" s="5"/>
      <c r="K10" s="6"/>
      <c r="L10" s="6"/>
      <c r="M10" s="13"/>
      <c r="N10" s="1014" t="s">
        <v>108</v>
      </c>
      <c r="O10" s="1014"/>
      <c r="P10" s="1014"/>
      <c r="Q10" s="1014"/>
      <c r="R10" s="1014"/>
      <c r="S10" s="1014"/>
      <c r="T10" s="1015" t="s">
        <v>109</v>
      </c>
      <c r="U10" s="1016"/>
      <c r="V10" s="1016"/>
      <c r="W10" s="1016"/>
      <c r="X10" s="1016"/>
      <c r="Y10" s="1016"/>
      <c r="Z10" s="1017" t="s">
        <v>110</v>
      </c>
      <c r="AA10" s="1017"/>
      <c r="AB10" s="1017"/>
      <c r="AC10" s="1017"/>
      <c r="AD10" s="1017"/>
      <c r="AE10" s="1017"/>
    </row>
    <row r="11" spans="1:42" ht="48" thickBot="1">
      <c r="B11" s="14" t="s">
        <v>1</v>
      </c>
      <c r="C11" s="14"/>
      <c r="D11" s="15" t="s">
        <v>2</v>
      </c>
      <c r="E11" s="16" t="s">
        <v>29</v>
      </c>
      <c r="F11" s="16" t="s">
        <v>678</v>
      </c>
      <c r="G11" s="16" t="s">
        <v>1456</v>
      </c>
      <c r="H11" s="17" t="s">
        <v>87</v>
      </c>
      <c r="I11" s="17" t="s">
        <v>86</v>
      </c>
      <c r="J11" s="17" t="s">
        <v>3</v>
      </c>
      <c r="K11" s="17" t="s">
        <v>4</v>
      </c>
      <c r="L11" s="17" t="s">
        <v>5</v>
      </c>
      <c r="M11" s="18" t="s">
        <v>6</v>
      </c>
      <c r="N11" s="119" t="s">
        <v>105</v>
      </c>
      <c r="O11" s="119" t="s">
        <v>106</v>
      </c>
      <c r="P11" s="119" t="s">
        <v>3</v>
      </c>
      <c r="Q11" s="119" t="s">
        <v>4</v>
      </c>
      <c r="R11" s="119" t="s">
        <v>5</v>
      </c>
      <c r="S11" s="120" t="s">
        <v>6</v>
      </c>
      <c r="T11" s="121" t="s">
        <v>105</v>
      </c>
      <c r="U11" s="121" t="s">
        <v>106</v>
      </c>
      <c r="V11" s="121" t="s">
        <v>3</v>
      </c>
      <c r="W11" s="121" t="s">
        <v>4</v>
      </c>
      <c r="X11" s="121" t="s">
        <v>5</v>
      </c>
      <c r="Y11" s="122" t="s">
        <v>6</v>
      </c>
      <c r="Z11" s="123" t="s">
        <v>105</v>
      </c>
      <c r="AA11" s="123" t="s">
        <v>106</v>
      </c>
      <c r="AB11" s="123" t="s">
        <v>3</v>
      </c>
      <c r="AC11" s="123" t="s">
        <v>4</v>
      </c>
      <c r="AD11" s="123" t="s">
        <v>5</v>
      </c>
      <c r="AE11" s="124" t="s">
        <v>6</v>
      </c>
      <c r="AP11" s="668" t="s">
        <v>1403</v>
      </c>
    </row>
    <row r="12" spans="1:42" ht="15.75">
      <c r="B12" s="227"/>
      <c r="C12" s="227"/>
      <c r="D12" s="228"/>
      <c r="E12" s="228"/>
      <c r="F12" s="228"/>
      <c r="G12" s="592"/>
      <c r="H12" s="229"/>
      <c r="I12" s="229"/>
      <c r="J12" s="229"/>
      <c r="K12" s="229"/>
      <c r="L12" s="229"/>
      <c r="M12" s="229"/>
      <c r="N12" s="230"/>
      <c r="O12" s="230"/>
      <c r="P12" s="230"/>
      <c r="Q12" s="230"/>
      <c r="R12" s="230"/>
      <c r="S12" s="230"/>
      <c r="T12" s="231"/>
      <c r="U12" s="231"/>
      <c r="V12" s="231"/>
      <c r="W12" s="231"/>
      <c r="X12" s="231"/>
      <c r="Y12" s="231"/>
      <c r="Z12" s="231"/>
      <c r="AA12" s="231"/>
      <c r="AB12" s="231"/>
      <c r="AC12" s="231"/>
      <c r="AD12" s="231"/>
      <c r="AE12" s="231"/>
    </row>
    <row r="13" spans="1:42" ht="37.5">
      <c r="B13" s="96"/>
      <c r="C13" s="271"/>
      <c r="D13" s="102" t="s">
        <v>7</v>
      </c>
      <c r="E13" s="97"/>
      <c r="F13" s="272"/>
      <c r="G13" s="533"/>
      <c r="H13" s="107">
        <f>SUM(H14:H18)</f>
        <v>2629061.35</v>
      </c>
      <c r="I13" s="107">
        <f t="shared" ref="I13:L13" si="0">SUM(I14)</f>
        <v>0</v>
      </c>
      <c r="J13" s="107">
        <f t="shared" si="0"/>
        <v>0</v>
      </c>
      <c r="K13" s="107">
        <f t="shared" si="0"/>
        <v>0</v>
      </c>
      <c r="L13" s="107">
        <f t="shared" si="0"/>
        <v>0</v>
      </c>
      <c r="M13" s="107">
        <f t="shared" ref="M13:M18" si="1">SUM(H13:L13)</f>
        <v>2629061.35</v>
      </c>
      <c r="N13" s="306"/>
      <c r="O13" s="306"/>
      <c r="P13" s="306"/>
      <c r="Q13" s="306"/>
      <c r="R13" s="306"/>
      <c r="S13" s="306"/>
      <c r="T13" s="307"/>
      <c r="U13" s="307"/>
      <c r="V13" s="307"/>
      <c r="W13" s="307"/>
      <c r="X13" s="307"/>
      <c r="Y13" s="307"/>
      <c r="Z13" s="307"/>
      <c r="AA13" s="307"/>
      <c r="AB13" s="307"/>
      <c r="AC13" s="307"/>
      <c r="AD13" s="307"/>
      <c r="AE13" s="307"/>
      <c r="AP13" s="666"/>
    </row>
    <row r="14" spans="1:42" ht="93.75">
      <c r="B14" s="232">
        <v>1</v>
      </c>
      <c r="C14" s="247"/>
      <c r="D14" s="104" t="s">
        <v>680</v>
      </c>
      <c r="E14" s="104" t="s">
        <v>681</v>
      </c>
      <c r="F14" s="270"/>
      <c r="G14" s="731"/>
      <c r="H14" s="502">
        <f>3000000-498147.29-344061.01-814551.56-893867.44-449372.7</f>
        <v>0</v>
      </c>
      <c r="I14" s="481">
        <v>0</v>
      </c>
      <c r="J14" s="481">
        <v>0</v>
      </c>
      <c r="K14" s="481">
        <v>0</v>
      </c>
      <c r="L14" s="481">
        <v>0</v>
      </c>
      <c r="M14" s="481">
        <f t="shared" si="1"/>
        <v>0</v>
      </c>
      <c r="N14" s="306"/>
      <c r="O14" s="306"/>
      <c r="P14" s="306"/>
      <c r="Q14" s="306"/>
      <c r="R14" s="306"/>
      <c r="S14" s="306"/>
      <c r="T14" s="307"/>
      <c r="U14" s="307"/>
      <c r="V14" s="307"/>
      <c r="W14" s="307"/>
      <c r="X14" s="307"/>
      <c r="Y14" s="307"/>
      <c r="Z14" s="307"/>
      <c r="AA14" s="307"/>
      <c r="AB14" s="307"/>
      <c r="AC14" s="307"/>
      <c r="AD14" s="307"/>
      <c r="AE14" s="307"/>
      <c r="AP14" s="666"/>
    </row>
    <row r="15" spans="1:42" ht="63">
      <c r="A15" t="s">
        <v>845</v>
      </c>
      <c r="B15" s="232">
        <v>1.1000000000000001</v>
      </c>
      <c r="C15" s="376" t="s">
        <v>960</v>
      </c>
      <c r="D15" s="491" t="s">
        <v>975</v>
      </c>
      <c r="E15" s="489" t="s">
        <v>692</v>
      </c>
      <c r="F15" s="431" t="s">
        <v>1452</v>
      </c>
      <c r="G15" s="791" t="s">
        <v>1457</v>
      </c>
      <c r="H15" s="697">
        <f>893867.44+50000</f>
        <v>943867.44</v>
      </c>
      <c r="I15" s="481">
        <v>0</v>
      </c>
      <c r="J15" s="481">
        <v>0</v>
      </c>
      <c r="K15" s="481">
        <v>0</v>
      </c>
      <c r="L15" s="481">
        <v>0</v>
      </c>
      <c r="M15" s="481">
        <f>SUM(H15:L15)</f>
        <v>943867.44</v>
      </c>
      <c r="N15" s="322">
        <v>233486.38</v>
      </c>
      <c r="O15" s="322"/>
      <c r="P15" s="322"/>
      <c r="Q15" s="306"/>
      <c r="R15" s="306"/>
      <c r="S15" s="322">
        <f>SUM(N15:R15)</f>
        <v>233486.38</v>
      </c>
      <c r="T15" s="322">
        <f>+H15-N15</f>
        <v>710381.05999999994</v>
      </c>
      <c r="U15" s="322"/>
      <c r="V15" s="322"/>
      <c r="W15" s="322"/>
      <c r="X15" s="322"/>
      <c r="Y15" s="307"/>
      <c r="Z15" s="494">
        <v>893867.44</v>
      </c>
      <c r="AA15" s="322">
        <v>0</v>
      </c>
      <c r="AB15" s="322">
        <v>0</v>
      </c>
      <c r="AC15" s="322">
        <v>0</v>
      </c>
      <c r="AD15" s="322">
        <v>0</v>
      </c>
      <c r="AE15" s="709">
        <f>SUM(Z15:AD15)</f>
        <v>893867.44</v>
      </c>
      <c r="AF15" s="710">
        <v>50000</v>
      </c>
      <c r="AP15" s="666" t="s">
        <v>1404</v>
      </c>
    </row>
    <row r="16" spans="1:42" ht="54">
      <c r="A16" t="s">
        <v>845</v>
      </c>
      <c r="B16" s="232">
        <v>1.2</v>
      </c>
      <c r="C16" s="376" t="s">
        <v>961</v>
      </c>
      <c r="D16" s="491" t="s">
        <v>976</v>
      </c>
      <c r="E16" s="489" t="s">
        <v>977</v>
      </c>
      <c r="F16" s="448"/>
      <c r="G16" s="731"/>
      <c r="H16" s="698">
        <v>498147.29</v>
      </c>
      <c r="I16" s="481">
        <v>0</v>
      </c>
      <c r="J16" s="481">
        <v>0</v>
      </c>
      <c r="K16" s="481">
        <v>0</v>
      </c>
      <c r="L16" s="481">
        <v>0</v>
      </c>
      <c r="M16" s="481">
        <f t="shared" si="1"/>
        <v>498147.29</v>
      </c>
      <c r="N16" s="322">
        <f>304962.5+139476.6</f>
        <v>444439.1</v>
      </c>
      <c r="O16" s="322"/>
      <c r="P16" s="322"/>
      <c r="Q16" s="306"/>
      <c r="R16" s="306"/>
      <c r="S16" s="322">
        <f t="shared" ref="S16:S19" si="2">SUM(N16:R16)</f>
        <v>444439.1</v>
      </c>
      <c r="T16" s="322">
        <f>+H16-N16</f>
        <v>53708.19</v>
      </c>
      <c r="U16" s="322"/>
      <c r="V16" s="322"/>
      <c r="W16" s="322"/>
      <c r="X16" s="322"/>
      <c r="Y16" s="307"/>
      <c r="Z16" s="322">
        <v>498147.29</v>
      </c>
      <c r="AA16" s="322">
        <v>0</v>
      </c>
      <c r="AB16" s="322">
        <v>0</v>
      </c>
      <c r="AC16" s="322">
        <v>0</v>
      </c>
      <c r="AD16" s="322">
        <v>0</v>
      </c>
      <c r="AE16" s="322">
        <f>SUM(Z16:AD16)</f>
        <v>498147.29</v>
      </c>
      <c r="AP16" s="666" t="s">
        <v>1405</v>
      </c>
    </row>
    <row r="17" spans="1:42" ht="54">
      <c r="A17" t="s">
        <v>845</v>
      </c>
      <c r="B17" s="232">
        <v>1.3</v>
      </c>
      <c r="C17" s="376" t="s">
        <v>959</v>
      </c>
      <c r="D17" s="491" t="s">
        <v>978</v>
      </c>
      <c r="E17" s="489" t="s">
        <v>979</v>
      </c>
      <c r="F17" s="270"/>
      <c r="G17" s="533"/>
      <c r="H17" s="699">
        <v>814551.56</v>
      </c>
      <c r="I17" s="481">
        <v>0</v>
      </c>
      <c r="J17" s="481">
        <v>0</v>
      </c>
      <c r="K17" s="481">
        <v>0</v>
      </c>
      <c r="L17" s="481">
        <v>0</v>
      </c>
      <c r="M17" s="481">
        <f>SUM(H17:L17)</f>
        <v>814551.56</v>
      </c>
      <c r="N17" s="322">
        <f>308067.72+297649.19</f>
        <v>605716.90999999992</v>
      </c>
      <c r="O17" s="322"/>
      <c r="P17" s="322"/>
      <c r="Q17" s="306"/>
      <c r="R17" s="306"/>
      <c r="S17" s="322">
        <f t="shared" si="2"/>
        <v>605716.90999999992</v>
      </c>
      <c r="T17" s="322">
        <f t="shared" ref="T17:T19" si="3">+H17-N17</f>
        <v>208834.65000000014</v>
      </c>
      <c r="U17" s="322"/>
      <c r="V17" s="322"/>
      <c r="W17" s="322"/>
      <c r="X17" s="322"/>
      <c r="Y17" s="307"/>
      <c r="Z17" s="494">
        <v>814551.56</v>
      </c>
      <c r="AA17" s="322">
        <v>0</v>
      </c>
      <c r="AB17" s="322">
        <v>0</v>
      </c>
      <c r="AC17" s="322">
        <v>0</v>
      </c>
      <c r="AD17" s="322">
        <v>0</v>
      </c>
      <c r="AE17" s="322">
        <f>SUM(Z17:AD17)</f>
        <v>814551.56</v>
      </c>
      <c r="AP17" s="666" t="s">
        <v>1404</v>
      </c>
    </row>
    <row r="18" spans="1:42" ht="54">
      <c r="A18" t="s">
        <v>845</v>
      </c>
      <c r="B18" s="492">
        <v>1.4</v>
      </c>
      <c r="C18" s="376" t="s">
        <v>962</v>
      </c>
      <c r="D18" s="489" t="s">
        <v>980</v>
      </c>
      <c r="E18" s="489" t="s">
        <v>693</v>
      </c>
      <c r="F18" s="531"/>
      <c r="G18" s="737"/>
      <c r="H18" s="699">
        <f>344061.01+28434.05</f>
        <v>372495.06</v>
      </c>
      <c r="I18" s="494">
        <v>0</v>
      </c>
      <c r="J18" s="494">
        <v>0</v>
      </c>
      <c r="K18" s="494">
        <v>0</v>
      </c>
      <c r="L18" s="494">
        <v>0</v>
      </c>
      <c r="M18" s="494">
        <f t="shared" si="1"/>
        <v>372495.06</v>
      </c>
      <c r="N18" s="322">
        <f>216331.15+125003.56</f>
        <v>341334.70999999996</v>
      </c>
      <c r="O18" s="322"/>
      <c r="P18" s="322"/>
      <c r="Q18" s="306"/>
      <c r="R18" s="306"/>
      <c r="S18" s="322">
        <f t="shared" si="2"/>
        <v>341334.70999999996</v>
      </c>
      <c r="T18" s="322">
        <f t="shared" si="3"/>
        <v>31160.350000000035</v>
      </c>
      <c r="U18" s="322"/>
      <c r="V18" s="322"/>
      <c r="W18" s="322"/>
      <c r="X18" s="322"/>
      <c r="Y18" s="307"/>
      <c r="Z18" s="322">
        <f>344061.01+28434.05</f>
        <v>372495.06</v>
      </c>
      <c r="AA18" s="322">
        <v>0</v>
      </c>
      <c r="AB18" s="322">
        <v>0</v>
      </c>
      <c r="AC18" s="322">
        <v>0</v>
      </c>
      <c r="AD18" s="322">
        <v>0</v>
      </c>
      <c r="AE18" s="322">
        <f>SUM(Z18:AD18)</f>
        <v>372495.06</v>
      </c>
      <c r="AP18" s="666" t="s">
        <v>1405</v>
      </c>
    </row>
    <row r="19" spans="1:42" ht="18.75">
      <c r="B19" s="232"/>
      <c r="C19" s="247"/>
      <c r="D19" s="66"/>
      <c r="E19" s="66"/>
      <c r="F19" s="270"/>
      <c r="G19" s="533"/>
      <c r="H19" s="494"/>
      <c r="I19" s="481"/>
      <c r="J19" s="481"/>
      <c r="K19" s="481"/>
      <c r="L19" s="481"/>
      <c r="M19" s="481"/>
      <c r="N19" s="306"/>
      <c r="O19" s="306"/>
      <c r="P19" s="306"/>
      <c r="Q19" s="306"/>
      <c r="R19" s="306"/>
      <c r="S19" s="322">
        <f t="shared" si="2"/>
        <v>0</v>
      </c>
      <c r="T19" s="322">
        <f t="shared" si="3"/>
        <v>0</v>
      </c>
      <c r="U19" s="307"/>
      <c r="V19" s="307"/>
      <c r="W19" s="307"/>
      <c r="X19" s="307"/>
      <c r="Y19" s="307"/>
      <c r="Z19" s="307"/>
      <c r="AA19" s="307"/>
      <c r="AB19" s="307"/>
      <c r="AC19" s="307"/>
      <c r="AD19" s="307"/>
      <c r="AE19" s="307"/>
      <c r="AP19" s="666"/>
    </row>
    <row r="20" spans="1:42" ht="16.5" thickBot="1">
      <c r="B20" s="21"/>
      <c r="C20" s="21"/>
      <c r="D20" s="249" t="s">
        <v>6</v>
      </c>
      <c r="E20" s="22"/>
      <c r="F20" s="448"/>
      <c r="G20" s="790"/>
      <c r="H20" s="23">
        <f t="shared" ref="H20:AE20" si="4">SUM(H14:H19)</f>
        <v>2629061.35</v>
      </c>
      <c r="I20" s="23">
        <f t="shared" si="4"/>
        <v>0</v>
      </c>
      <c r="J20" s="23">
        <f t="shared" si="4"/>
        <v>0</v>
      </c>
      <c r="K20" s="23">
        <f t="shared" si="4"/>
        <v>0</v>
      </c>
      <c r="L20" s="23">
        <f t="shared" si="4"/>
        <v>0</v>
      </c>
      <c r="M20" s="23">
        <f t="shared" si="4"/>
        <v>2629061.35</v>
      </c>
      <c r="N20" s="23">
        <f t="shared" si="4"/>
        <v>1624977.0999999999</v>
      </c>
      <c r="O20" s="23">
        <f t="shared" si="4"/>
        <v>0</v>
      </c>
      <c r="P20" s="23">
        <f t="shared" si="4"/>
        <v>0</v>
      </c>
      <c r="Q20" s="23">
        <f t="shared" si="4"/>
        <v>0</v>
      </c>
      <c r="R20" s="23">
        <f t="shared" si="4"/>
        <v>0</v>
      </c>
      <c r="S20" s="23">
        <f t="shared" si="4"/>
        <v>1624977.0999999999</v>
      </c>
      <c r="T20" s="23">
        <f t="shared" si="4"/>
        <v>1004084.2500000002</v>
      </c>
      <c r="U20" s="23">
        <f t="shared" si="4"/>
        <v>0</v>
      </c>
      <c r="V20" s="23">
        <f t="shared" si="4"/>
        <v>0</v>
      </c>
      <c r="W20" s="23">
        <f t="shared" si="4"/>
        <v>0</v>
      </c>
      <c r="X20" s="23">
        <f t="shared" si="4"/>
        <v>0</v>
      </c>
      <c r="Y20" s="23">
        <f t="shared" si="4"/>
        <v>0</v>
      </c>
      <c r="Z20" s="23">
        <f t="shared" si="4"/>
        <v>2579061.35</v>
      </c>
      <c r="AA20" s="23">
        <f t="shared" si="4"/>
        <v>0</v>
      </c>
      <c r="AB20" s="23">
        <f t="shared" si="4"/>
        <v>0</v>
      </c>
      <c r="AC20" s="23">
        <f t="shared" si="4"/>
        <v>0</v>
      </c>
      <c r="AD20" s="23">
        <f t="shared" si="4"/>
        <v>0</v>
      </c>
      <c r="AE20" s="23">
        <f t="shared" si="4"/>
        <v>2579061.35</v>
      </c>
      <c r="AP20" s="666"/>
    </row>
    <row r="21" spans="1:42" ht="15.75">
      <c r="B21" s="24"/>
      <c r="C21" s="227"/>
      <c r="D21" s="26"/>
      <c r="E21" s="26"/>
      <c r="F21" s="606"/>
      <c r="G21" s="592"/>
      <c r="H21" s="27"/>
      <c r="I21" s="27"/>
      <c r="J21" s="27"/>
      <c r="K21" s="27"/>
      <c r="L21" s="27"/>
      <c r="M21" s="28"/>
      <c r="N21" s="230"/>
      <c r="O21" s="230"/>
      <c r="P21" s="230"/>
      <c r="Q21" s="230"/>
      <c r="R21" s="230"/>
      <c r="S21" s="230"/>
      <c r="T21" s="231"/>
      <c r="U21" s="231"/>
      <c r="V21" s="231"/>
      <c r="W21" s="231"/>
      <c r="X21" s="231"/>
      <c r="Y21" s="231"/>
      <c r="Z21" s="231"/>
      <c r="AA21" s="231"/>
      <c r="AB21" s="231"/>
      <c r="AC21" s="231"/>
      <c r="AD21" s="231"/>
      <c r="AE21" s="231"/>
      <c r="AP21" s="666"/>
    </row>
    <row r="22" spans="1:42" ht="37.5">
      <c r="B22" s="96"/>
      <c r="C22" s="271"/>
      <c r="D22" s="102" t="s">
        <v>8</v>
      </c>
      <c r="E22" s="97"/>
      <c r="F22" s="272"/>
      <c r="G22" s="272"/>
      <c r="H22" s="107">
        <f>SUM(H23:H25)</f>
        <v>0</v>
      </c>
      <c r="I22" s="107">
        <f>SUM(I23:I25)</f>
        <v>10432115.390000001</v>
      </c>
      <c r="J22" s="107">
        <f>SUM(J23:J25)</f>
        <v>500000</v>
      </c>
      <c r="K22" s="107">
        <f>SUM(K23:K25)</f>
        <v>0</v>
      </c>
      <c r="L22" s="107">
        <f>SUM(L23:L25)</f>
        <v>0</v>
      </c>
      <c r="M22" s="107">
        <f>SUM(H22:L22)</f>
        <v>10932115.390000001</v>
      </c>
      <c r="N22" s="322"/>
      <c r="O22" s="322"/>
      <c r="P22" s="322"/>
      <c r="Q22" s="322"/>
      <c r="R22" s="322"/>
      <c r="S22" s="322"/>
      <c r="T22" s="307"/>
      <c r="U22" s="307"/>
      <c r="V22" s="307"/>
      <c r="W22" s="307"/>
      <c r="X22" s="307"/>
      <c r="Y22" s="307"/>
      <c r="Z22" s="307"/>
      <c r="AA22" s="307"/>
      <c r="AB22" s="307"/>
      <c r="AC22" s="307"/>
      <c r="AD22" s="307"/>
      <c r="AE22" s="307"/>
      <c r="AI22" s="182">
        <f>AI23-800000</f>
        <v>537830.24000000209</v>
      </c>
      <c r="AK22" s="850"/>
      <c r="AP22" s="666"/>
    </row>
    <row r="23" spans="1:42" ht="56.25">
      <c r="B23" s="32">
        <v>1</v>
      </c>
      <c r="C23" s="376" t="s">
        <v>860</v>
      </c>
      <c r="D23" s="104" t="s">
        <v>78</v>
      </c>
      <c r="E23" s="104"/>
      <c r="F23" s="270"/>
      <c r="G23" s="738"/>
      <c r="H23" s="105">
        <v>0</v>
      </c>
      <c r="I23" s="67">
        <v>0</v>
      </c>
      <c r="J23" s="106">
        <v>500000</v>
      </c>
      <c r="K23" s="106">
        <v>0</v>
      </c>
      <c r="L23" s="106">
        <v>0</v>
      </c>
      <c r="M23" s="481">
        <f>SUM(H23:L23)</f>
        <v>500000</v>
      </c>
      <c r="N23" s="322"/>
      <c r="O23" s="322"/>
      <c r="P23" s="322">
        <f>193930.57+254880.2+49867.85</f>
        <v>498678.62</v>
      </c>
      <c r="Q23" s="322"/>
      <c r="R23" s="322"/>
      <c r="S23" s="322">
        <f>SUM(N23:R23)</f>
        <v>498678.62</v>
      </c>
      <c r="T23" s="307"/>
      <c r="U23" s="307"/>
      <c r="V23" s="535">
        <f>+J23-P23</f>
        <v>1321.3800000000047</v>
      </c>
      <c r="W23" s="307"/>
      <c r="X23" s="307"/>
      <c r="Y23" s="307"/>
      <c r="Z23" s="322">
        <v>0</v>
      </c>
      <c r="AA23" s="322">
        <v>0</v>
      </c>
      <c r="AB23" s="322">
        <v>498678.62</v>
      </c>
      <c r="AC23" s="322">
        <v>0</v>
      </c>
      <c r="AD23" s="322">
        <v>0</v>
      </c>
      <c r="AE23" s="322">
        <f>SUM(Z23:AD23)</f>
        <v>498678.62</v>
      </c>
      <c r="AI23" s="182">
        <f>I24-AI24</f>
        <v>1337830.2400000021</v>
      </c>
      <c r="AK23" s="850">
        <v>1321.3800000000047</v>
      </c>
      <c r="AP23" s="666"/>
    </row>
    <row r="24" spans="1:42" ht="63">
      <c r="A24" t="s">
        <v>845</v>
      </c>
      <c r="B24" s="20">
        <v>2</v>
      </c>
      <c r="C24" s="675" t="s">
        <v>1103</v>
      </c>
      <c r="D24" s="678" t="s">
        <v>981</v>
      </c>
      <c r="E24" s="679" t="s">
        <v>682</v>
      </c>
      <c r="F24" s="680" t="s">
        <v>1420</v>
      </c>
      <c r="G24" s="819"/>
      <c r="H24" s="329">
        <v>0</v>
      </c>
      <c r="I24" s="330">
        <f>13760750.67-1874.03-3820639.7</f>
        <v>9938236.9400000013</v>
      </c>
      <c r="J24" s="330">
        <v>0</v>
      </c>
      <c r="K24" s="330">
        <v>0</v>
      </c>
      <c r="L24" s="330">
        <v>0</v>
      </c>
      <c r="M24" s="331">
        <f t="shared" ref="M24:M25" si="5">SUM(H24:L24)</f>
        <v>9938236.9400000013</v>
      </c>
      <c r="N24" s="322"/>
      <c r="O24" s="322">
        <f>775989.41+1365554.8+1277343.72</f>
        <v>3418887.9299999997</v>
      </c>
      <c r="P24"/>
      <c r="Q24" s="322"/>
      <c r="R24" s="322"/>
      <c r="S24" s="322">
        <f t="shared" ref="S24:S25" si="6">SUM(N24:R24)</f>
        <v>3418887.9299999997</v>
      </c>
      <c r="T24" s="307"/>
      <c r="U24" s="322">
        <f>+I24-O24</f>
        <v>6519349.0100000016</v>
      </c>
      <c r="V24" s="666"/>
      <c r="W24" s="307"/>
      <c r="X24" s="307"/>
      <c r="Y24" s="307"/>
      <c r="Z24" s="322">
        <v>0</v>
      </c>
      <c r="AA24" s="536">
        <v>12421046.4</v>
      </c>
      <c r="AB24" s="322">
        <v>0</v>
      </c>
      <c r="AC24" s="322">
        <v>0</v>
      </c>
      <c r="AD24" s="322">
        <v>0</v>
      </c>
      <c r="AE24" s="322">
        <f>SUM(Z24:AD24)</f>
        <v>12421046.4</v>
      </c>
      <c r="AF24" s="817">
        <v>537830.24</v>
      </c>
      <c r="AG24" s="440">
        <f>(AA24-3820639.7+800000)-9938236.94</f>
        <v>-537830.24000000022</v>
      </c>
      <c r="AI24" s="182">
        <f>12421046.4-3820639.7</f>
        <v>8600406.6999999993</v>
      </c>
      <c r="AK24" s="851"/>
      <c r="AP24" s="666" t="s">
        <v>1406</v>
      </c>
    </row>
    <row r="25" spans="1:42" ht="54">
      <c r="B25" s="285">
        <v>3</v>
      </c>
      <c r="C25" s="447" t="s">
        <v>851</v>
      </c>
      <c r="D25" s="489" t="s">
        <v>982</v>
      </c>
      <c r="E25" s="300"/>
      <c r="F25" s="270" t="s">
        <v>29</v>
      </c>
      <c r="G25" s="731"/>
      <c r="H25" s="301">
        <v>0</v>
      </c>
      <c r="I25" s="302">
        <v>493878.45</v>
      </c>
      <c r="J25" s="302">
        <v>0</v>
      </c>
      <c r="K25" s="302">
        <v>0</v>
      </c>
      <c r="L25" s="302">
        <v>0</v>
      </c>
      <c r="M25" s="494">
        <f t="shared" si="5"/>
        <v>493878.45</v>
      </c>
      <c r="N25" s="322"/>
      <c r="O25" s="322">
        <v>0</v>
      </c>
      <c r="P25" s="322"/>
      <c r="Q25" s="322"/>
      <c r="R25" s="322"/>
      <c r="S25" s="322">
        <f t="shared" si="6"/>
        <v>0</v>
      </c>
      <c r="T25" s="307"/>
      <c r="U25" s="322">
        <f>+I25-O25</f>
        <v>493878.45</v>
      </c>
      <c r="V25" s="666"/>
      <c r="W25" s="307"/>
      <c r="X25" s="307"/>
      <c r="Y25" s="307"/>
      <c r="Z25" s="307"/>
      <c r="AA25" s="322">
        <v>493878.45</v>
      </c>
      <c r="AB25" s="307"/>
      <c r="AC25" s="307"/>
      <c r="AD25" s="307"/>
      <c r="AE25" s="302">
        <v>493878.45</v>
      </c>
      <c r="AP25" s="666" t="s">
        <v>1404</v>
      </c>
    </row>
    <row r="26" spans="1:42" ht="16.5" thickBot="1">
      <c r="B26" s="21"/>
      <c r="C26" s="48"/>
      <c r="D26" s="249" t="s">
        <v>6</v>
      </c>
      <c r="E26" s="22"/>
      <c r="F26" s="448"/>
      <c r="G26" s="790"/>
      <c r="H26" s="23">
        <f t="shared" ref="H26:AE26" si="7">SUM(H23:H25)</f>
        <v>0</v>
      </c>
      <c r="I26" s="23">
        <f t="shared" si="7"/>
        <v>10432115.390000001</v>
      </c>
      <c r="J26" s="23">
        <f t="shared" si="7"/>
        <v>500000</v>
      </c>
      <c r="K26" s="23">
        <f t="shared" si="7"/>
        <v>0</v>
      </c>
      <c r="L26" s="23">
        <f t="shared" si="7"/>
        <v>0</v>
      </c>
      <c r="M26" s="23">
        <f t="shared" si="7"/>
        <v>10932115.390000001</v>
      </c>
      <c r="N26" s="23">
        <f t="shared" si="7"/>
        <v>0</v>
      </c>
      <c r="O26" s="23">
        <f t="shared" si="7"/>
        <v>3418887.9299999997</v>
      </c>
      <c r="P26" s="23">
        <f t="shared" si="7"/>
        <v>498678.62</v>
      </c>
      <c r="Q26" s="23">
        <f t="shared" si="7"/>
        <v>0</v>
      </c>
      <c r="R26" s="23">
        <f t="shared" si="7"/>
        <v>0</v>
      </c>
      <c r="S26" s="23">
        <f t="shared" si="7"/>
        <v>3917566.55</v>
      </c>
      <c r="T26" s="23">
        <f t="shared" si="7"/>
        <v>0</v>
      </c>
      <c r="U26" s="23">
        <f>SUM(U23:U25)</f>
        <v>7013227.4600000018</v>
      </c>
      <c r="V26" s="23">
        <f t="shared" si="7"/>
        <v>1321.3800000000047</v>
      </c>
      <c r="W26" s="23">
        <f t="shared" si="7"/>
        <v>0</v>
      </c>
      <c r="X26" s="23">
        <f t="shared" si="7"/>
        <v>0</v>
      </c>
      <c r="Y26" s="23">
        <f t="shared" si="7"/>
        <v>0</v>
      </c>
      <c r="Z26" s="23">
        <f t="shared" si="7"/>
        <v>0</v>
      </c>
      <c r="AA26" s="23">
        <f t="shared" si="7"/>
        <v>12914924.85</v>
      </c>
      <c r="AB26" s="23">
        <f t="shared" si="7"/>
        <v>498678.62</v>
      </c>
      <c r="AC26" s="23">
        <f t="shared" si="7"/>
        <v>0</v>
      </c>
      <c r="AD26" s="23">
        <f t="shared" si="7"/>
        <v>0</v>
      </c>
      <c r="AE26" s="23">
        <f t="shared" si="7"/>
        <v>13413603.469999999</v>
      </c>
      <c r="AP26" s="666"/>
    </row>
    <row r="27" spans="1:42" ht="15.75">
      <c r="B27" s="19"/>
      <c r="C27" s="227"/>
      <c r="D27" s="29"/>
      <c r="E27" s="29"/>
      <c r="F27" s="449"/>
      <c r="G27" s="592"/>
      <c r="H27" s="30"/>
      <c r="I27" s="30"/>
      <c r="J27" s="30"/>
      <c r="K27" s="30"/>
      <c r="L27" s="30"/>
      <c r="M27" s="31"/>
      <c r="N27" s="230"/>
      <c r="O27" s="230"/>
      <c r="P27" s="230"/>
      <c r="Q27" s="230"/>
      <c r="R27" s="230"/>
      <c r="S27" s="230"/>
      <c r="T27" s="231"/>
      <c r="U27" s="231"/>
      <c r="V27" s="231"/>
      <c r="W27" s="231"/>
      <c r="X27" s="231"/>
      <c r="Y27" s="231"/>
      <c r="Z27" s="231"/>
      <c r="AA27" s="231"/>
      <c r="AB27" s="231"/>
      <c r="AC27" s="231"/>
      <c r="AD27" s="231"/>
      <c r="AE27" s="231"/>
      <c r="AP27" s="666"/>
    </row>
    <row r="28" spans="1:42" ht="15.75">
      <c r="B28" s="19"/>
      <c r="C28" s="227"/>
      <c r="D28" s="29"/>
      <c r="E28" s="29"/>
      <c r="F28" s="228"/>
      <c r="G28" s="592"/>
      <c r="H28" s="30"/>
      <c r="I28" s="30"/>
      <c r="J28" s="30"/>
      <c r="K28" s="30"/>
      <c r="L28" s="30"/>
      <c r="M28" s="31"/>
      <c r="N28" s="230"/>
      <c r="O28" s="230"/>
      <c r="P28" s="230"/>
      <c r="Q28" s="230"/>
      <c r="R28" s="230"/>
      <c r="S28" s="230"/>
      <c r="T28" s="231"/>
      <c r="U28" s="231"/>
      <c r="V28" s="231"/>
      <c r="W28" s="231"/>
      <c r="X28" s="231"/>
      <c r="Y28" s="231"/>
      <c r="Z28" s="231"/>
      <c r="AA28" s="231"/>
      <c r="AB28" s="231"/>
      <c r="AC28" s="231"/>
      <c r="AD28" s="231"/>
      <c r="AE28" s="231"/>
      <c r="AP28" s="666"/>
    </row>
    <row r="29" spans="1:42" ht="18.75">
      <c r="B29" s="96"/>
      <c r="C29" s="271"/>
      <c r="D29" s="102" t="s">
        <v>9</v>
      </c>
      <c r="E29" s="98"/>
      <c r="F29" s="272"/>
      <c r="G29" s="272"/>
      <c r="H29" s="107">
        <f>SUM(H30:H59)</f>
        <v>11161927.030000003</v>
      </c>
      <c r="I29" s="107">
        <f>SUM(I30:I59)</f>
        <v>6484330.6599999992</v>
      </c>
      <c r="J29" s="107">
        <f>SUM(J30:J58)</f>
        <v>11020000</v>
      </c>
      <c r="K29" s="107">
        <f>SUM(K30:K59)</f>
        <v>270000</v>
      </c>
      <c r="L29" s="107">
        <f>SUM(L30:L58)</f>
        <v>0</v>
      </c>
      <c r="M29" s="107">
        <f>SUM(H29:L29)</f>
        <v>28936257.690000001</v>
      </c>
      <c r="N29" s="306"/>
      <c r="O29" s="306"/>
      <c r="P29" s="306"/>
      <c r="Q29" s="306"/>
      <c r="R29" s="306"/>
      <c r="S29" s="306"/>
      <c r="T29" s="307"/>
      <c r="U29" s="307"/>
      <c r="V29" s="307"/>
      <c r="W29" s="307"/>
      <c r="X29" s="307"/>
      <c r="Y29" s="307"/>
      <c r="Z29" s="307"/>
      <c r="AA29" s="307"/>
      <c r="AB29" s="307"/>
      <c r="AC29" s="307"/>
      <c r="AD29" s="307"/>
      <c r="AE29" s="307"/>
      <c r="AP29" s="666"/>
    </row>
    <row r="30" spans="1:42" ht="37.5">
      <c r="B30" s="111">
        <v>1</v>
      </c>
      <c r="C30" s="247" t="s">
        <v>1058</v>
      </c>
      <c r="D30" s="68" t="s">
        <v>93</v>
      </c>
      <c r="E30" s="69" t="s">
        <v>1111</v>
      </c>
      <c r="F30" s="270"/>
      <c r="G30" s="533"/>
      <c r="H30" s="700">
        <v>167657.10999999999</v>
      </c>
      <c r="I30" s="67">
        <v>0</v>
      </c>
      <c r="J30" s="67">
        <v>0</v>
      </c>
      <c r="K30" s="67">
        <v>0</v>
      </c>
      <c r="L30" s="67">
        <v>0</v>
      </c>
      <c r="M30" s="481">
        <f>SUM(H30:L30)</f>
        <v>167657.10999999999</v>
      </c>
      <c r="N30" s="322">
        <v>164372.87</v>
      </c>
      <c r="O30" s="418"/>
      <c r="P30" s="418"/>
      <c r="Q30" s="418"/>
      <c r="R30" s="418"/>
      <c r="S30" s="322">
        <f>SUM(N30:R30)</f>
        <v>164372.87</v>
      </c>
      <c r="T30" s="307"/>
      <c r="U30" s="307"/>
      <c r="V30" s="307"/>
      <c r="W30" s="307"/>
      <c r="X30" s="307"/>
      <c r="Y30" s="307"/>
      <c r="Z30" s="307"/>
      <c r="AA30" s="307"/>
      <c r="AB30" s="307"/>
      <c r="AC30" s="307"/>
      <c r="AD30" s="307"/>
      <c r="AE30" s="307"/>
      <c r="AP30" s="666"/>
    </row>
    <row r="31" spans="1:42" ht="37.5">
      <c r="B31" s="111">
        <v>2</v>
      </c>
      <c r="C31" s="247" t="s">
        <v>862</v>
      </c>
      <c r="D31" s="235" t="s">
        <v>94</v>
      </c>
      <c r="E31" s="69" t="s">
        <v>38</v>
      </c>
      <c r="F31" s="270"/>
      <c r="G31" s="533"/>
      <c r="H31" s="701">
        <f>972798.46-0.72</f>
        <v>972797.74</v>
      </c>
      <c r="I31" s="67">
        <v>0</v>
      </c>
      <c r="J31" s="67">
        <v>0</v>
      </c>
      <c r="K31" s="67">
        <v>0</v>
      </c>
      <c r="L31" s="67">
        <v>0</v>
      </c>
      <c r="M31" s="481">
        <f t="shared" ref="M31:M59" si="8">SUM(H31:L31)</f>
        <v>972797.74</v>
      </c>
      <c r="N31" s="322">
        <f>246638.36+331505.93+267258.83+127394.62</f>
        <v>972797.74000000011</v>
      </c>
      <c r="O31" s="418"/>
      <c r="P31" s="418"/>
      <c r="Q31" s="418"/>
      <c r="R31" s="418"/>
      <c r="S31" s="322">
        <f t="shared" ref="S31:S59" si="9">SUM(N31:R31)</f>
        <v>972797.74000000011</v>
      </c>
      <c r="T31" s="535">
        <f>+H31-N31</f>
        <v>0</v>
      </c>
      <c r="U31" s="307"/>
      <c r="V31" s="307"/>
      <c r="W31" s="307"/>
      <c r="X31" s="307"/>
      <c r="Y31" s="307"/>
      <c r="Z31" s="322">
        <v>972797.81</v>
      </c>
      <c r="AA31" s="322">
        <v>0</v>
      </c>
      <c r="AB31" s="322">
        <v>0</v>
      </c>
      <c r="AC31" s="322">
        <v>0</v>
      </c>
      <c r="AD31" s="322">
        <v>0</v>
      </c>
      <c r="AE31" s="322">
        <v>972797.81</v>
      </c>
      <c r="AF31" s="719">
        <v>0.72</v>
      </c>
      <c r="AP31" s="666"/>
    </row>
    <row r="32" spans="1:42" ht="77.25" customHeight="1">
      <c r="B32" s="111">
        <v>3</v>
      </c>
      <c r="C32" s="247"/>
      <c r="D32" s="236" t="s">
        <v>95</v>
      </c>
      <c r="E32" s="69"/>
      <c r="F32" s="669"/>
      <c r="G32" s="791" t="s">
        <v>1458</v>
      </c>
      <c r="H32" s="706">
        <f>15000-9121.29-5878.71</f>
        <v>0</v>
      </c>
      <c r="I32" s="67">
        <v>0</v>
      </c>
      <c r="J32" s="67">
        <v>0</v>
      </c>
      <c r="K32" s="67">
        <v>0</v>
      </c>
      <c r="L32" s="67">
        <v>0</v>
      </c>
      <c r="M32" s="481">
        <f t="shared" si="8"/>
        <v>0</v>
      </c>
      <c r="N32" s="418"/>
      <c r="O32" s="418"/>
      <c r="P32" s="418"/>
      <c r="Q32" s="418"/>
      <c r="R32" s="418"/>
      <c r="S32" s="322">
        <f t="shared" si="9"/>
        <v>0</v>
      </c>
      <c r="T32" s="307"/>
      <c r="U32" s="307"/>
      <c r="V32" s="307"/>
      <c r="W32" s="307"/>
      <c r="X32" s="307"/>
      <c r="Y32" s="307"/>
      <c r="Z32" s="307"/>
      <c r="AA32" s="307"/>
      <c r="AB32" s="307"/>
      <c r="AC32" s="307"/>
      <c r="AD32" s="307"/>
      <c r="AE32" s="307"/>
      <c r="AF32" s="719">
        <v>5878.71</v>
      </c>
      <c r="AP32" s="666"/>
    </row>
    <row r="33" spans="1:42" ht="37.5">
      <c r="A33" t="s">
        <v>845</v>
      </c>
      <c r="B33" s="111">
        <v>3.1</v>
      </c>
      <c r="C33" s="376" t="s">
        <v>963</v>
      </c>
      <c r="D33" s="68" t="s">
        <v>39</v>
      </c>
      <c r="E33" s="69" t="s">
        <v>40</v>
      </c>
      <c r="F33" s="270"/>
      <c r="G33" s="533"/>
      <c r="H33" s="701">
        <v>45068.69</v>
      </c>
      <c r="I33" s="67">
        <v>0</v>
      </c>
      <c r="J33" s="67">
        <v>0</v>
      </c>
      <c r="K33" s="67">
        <v>0</v>
      </c>
      <c r="L33" s="67">
        <v>0</v>
      </c>
      <c r="M33" s="481">
        <f t="shared" si="8"/>
        <v>45068.69</v>
      </c>
      <c r="N33" s="322">
        <v>30557.14</v>
      </c>
      <c r="O33" s="418"/>
      <c r="P33" s="418"/>
      <c r="Q33" s="418"/>
      <c r="R33" s="418"/>
      <c r="S33" s="322">
        <f t="shared" si="9"/>
        <v>30557.14</v>
      </c>
      <c r="T33" s="322">
        <f t="shared" ref="T33:T53" si="10">+H33-N33</f>
        <v>14511.550000000003</v>
      </c>
      <c r="U33" s="307"/>
      <c r="V33" s="307"/>
      <c r="W33" s="307"/>
      <c r="X33" s="307"/>
      <c r="Y33" s="307"/>
      <c r="Z33" s="322">
        <v>45068.69</v>
      </c>
      <c r="AA33" s="322">
        <v>0</v>
      </c>
      <c r="AB33" s="322">
        <v>0</v>
      </c>
      <c r="AC33" s="322">
        <v>0</v>
      </c>
      <c r="AD33" s="322">
        <v>0</v>
      </c>
      <c r="AE33" s="322">
        <v>45068.69</v>
      </c>
      <c r="AF33" s="585"/>
      <c r="AP33" s="666" t="s">
        <v>1406</v>
      </c>
    </row>
    <row r="34" spans="1:42" ht="56.25">
      <c r="A34" t="s">
        <v>845</v>
      </c>
      <c r="B34" s="111">
        <v>3.2</v>
      </c>
      <c r="C34" s="376" t="s">
        <v>963</v>
      </c>
      <c r="D34" s="68" t="s">
        <v>41</v>
      </c>
      <c r="E34" s="69" t="s">
        <v>683</v>
      </c>
      <c r="F34" s="270"/>
      <c r="G34" s="533"/>
      <c r="H34" s="701">
        <v>43261.98</v>
      </c>
      <c r="I34" s="67">
        <v>0</v>
      </c>
      <c r="J34" s="67">
        <v>0</v>
      </c>
      <c r="K34" s="67">
        <v>0</v>
      </c>
      <c r="L34" s="67">
        <v>0</v>
      </c>
      <c r="M34" s="494">
        <f t="shared" si="8"/>
        <v>43261.98</v>
      </c>
      <c r="N34" s="322">
        <v>2552.9499999999998</v>
      </c>
      <c r="O34" s="418"/>
      <c r="P34" s="418"/>
      <c r="Q34" s="418"/>
      <c r="R34" s="418"/>
      <c r="S34" s="322">
        <f t="shared" si="9"/>
        <v>2552.9499999999998</v>
      </c>
      <c r="T34" s="322">
        <f t="shared" si="10"/>
        <v>40709.030000000006</v>
      </c>
      <c r="U34" s="307"/>
      <c r="V34" s="307"/>
      <c r="W34" s="307"/>
      <c r="X34" s="307"/>
      <c r="Y34" s="307"/>
      <c r="Z34" s="322">
        <v>43261.98</v>
      </c>
      <c r="AA34" s="322">
        <v>0</v>
      </c>
      <c r="AB34" s="322">
        <v>0</v>
      </c>
      <c r="AC34" s="322">
        <v>0</v>
      </c>
      <c r="AD34" s="322">
        <v>0</v>
      </c>
      <c r="AE34" s="322">
        <v>43261.98</v>
      </c>
      <c r="AF34" s="585"/>
      <c r="AP34" s="666" t="s">
        <v>1406</v>
      </c>
    </row>
    <row r="35" spans="1:42" ht="75">
      <c r="A35" t="s">
        <v>845</v>
      </c>
      <c r="B35" s="111">
        <v>3.3</v>
      </c>
      <c r="C35" s="376" t="s">
        <v>963</v>
      </c>
      <c r="D35" s="68" t="s">
        <v>43</v>
      </c>
      <c r="E35" s="69" t="s">
        <v>684</v>
      </c>
      <c r="F35" s="270"/>
      <c r="G35" s="791" t="s">
        <v>1459</v>
      </c>
      <c r="H35" s="702">
        <f>73035.54+2136.75</f>
        <v>75172.289999999994</v>
      </c>
      <c r="I35" s="67">
        <v>0</v>
      </c>
      <c r="J35" s="67">
        <v>0</v>
      </c>
      <c r="K35" s="67">
        <v>0</v>
      </c>
      <c r="L35" s="67">
        <v>0</v>
      </c>
      <c r="M35" s="494">
        <f t="shared" si="8"/>
        <v>75172.289999999994</v>
      </c>
      <c r="N35" s="322">
        <f>57658.76+17513.53</f>
        <v>75172.290000000008</v>
      </c>
      <c r="O35" s="418"/>
      <c r="P35" s="418"/>
      <c r="Q35" s="418"/>
      <c r="R35" s="418"/>
      <c r="S35" s="322">
        <f t="shared" si="9"/>
        <v>75172.290000000008</v>
      </c>
      <c r="T35" s="322">
        <f t="shared" si="10"/>
        <v>0</v>
      </c>
      <c r="U35" s="307"/>
      <c r="V35" s="307"/>
      <c r="W35" s="307"/>
      <c r="X35" s="307"/>
      <c r="Y35" s="307"/>
      <c r="Z35" s="322">
        <v>73035.539999999994</v>
      </c>
      <c r="AA35" s="322">
        <v>0</v>
      </c>
      <c r="AB35" s="322">
        <v>0</v>
      </c>
      <c r="AC35" s="322">
        <v>0</v>
      </c>
      <c r="AD35" s="322">
        <v>0</v>
      </c>
      <c r="AE35" s="322">
        <v>73035.539999999994</v>
      </c>
      <c r="AF35" s="725">
        <v>2136.75</v>
      </c>
      <c r="AP35" s="666" t="s">
        <v>1406</v>
      </c>
    </row>
    <row r="36" spans="1:42" ht="54.75" customHeight="1">
      <c r="A36" t="s">
        <v>845</v>
      </c>
      <c r="B36" s="111">
        <v>3.4</v>
      </c>
      <c r="C36" s="376" t="s">
        <v>963</v>
      </c>
      <c r="D36" s="68" t="s">
        <v>44</v>
      </c>
      <c r="E36" s="69" t="s">
        <v>685</v>
      </c>
      <c r="F36" s="270"/>
      <c r="G36" s="791" t="s">
        <v>1460</v>
      </c>
      <c r="H36" s="702">
        <f>340698.09+9121.29+20331.46</f>
        <v>370150.84</v>
      </c>
      <c r="I36" s="67">
        <v>0</v>
      </c>
      <c r="J36" s="67">
        <v>0</v>
      </c>
      <c r="K36" s="67">
        <v>0</v>
      </c>
      <c r="L36" s="67">
        <v>0</v>
      </c>
      <c r="M36" s="481">
        <f t="shared" si="8"/>
        <v>370150.84</v>
      </c>
      <c r="N36" s="322">
        <f>164874.14+176789.54+28487.16</f>
        <v>370150.84</v>
      </c>
      <c r="O36" s="418"/>
      <c r="P36" s="418"/>
      <c r="Q36" s="418"/>
      <c r="R36" s="418"/>
      <c r="S36" s="322">
        <f t="shared" si="9"/>
        <v>370150.84</v>
      </c>
      <c r="T36" s="322">
        <f t="shared" si="10"/>
        <v>0</v>
      </c>
      <c r="U36" s="307"/>
      <c r="V36" s="307"/>
      <c r="W36" s="307"/>
      <c r="X36" s="307"/>
      <c r="Y36" s="307"/>
      <c r="Z36" s="322">
        <v>340698.09</v>
      </c>
      <c r="AA36" s="322">
        <v>0</v>
      </c>
      <c r="AB36" s="322">
        <v>0</v>
      </c>
      <c r="AC36" s="322">
        <v>0</v>
      </c>
      <c r="AD36" s="322">
        <v>0</v>
      </c>
      <c r="AE36" s="322">
        <v>340698.09</v>
      </c>
      <c r="AF36" s="725">
        <v>20331.46</v>
      </c>
      <c r="AP36" s="666" t="s">
        <v>1406</v>
      </c>
    </row>
    <row r="37" spans="1:42" ht="56.25">
      <c r="A37" t="s">
        <v>845</v>
      </c>
      <c r="B37" s="111">
        <v>3.5</v>
      </c>
      <c r="C37" s="376" t="s">
        <v>963</v>
      </c>
      <c r="D37" s="68" t="s">
        <v>45</v>
      </c>
      <c r="E37" s="69" t="s">
        <v>686</v>
      </c>
      <c r="F37" s="270"/>
      <c r="G37" s="533"/>
      <c r="H37" s="701">
        <v>85242.7</v>
      </c>
      <c r="I37" s="67">
        <v>0</v>
      </c>
      <c r="J37" s="67">
        <v>0</v>
      </c>
      <c r="K37" s="67">
        <v>0</v>
      </c>
      <c r="L37" s="67">
        <v>0</v>
      </c>
      <c r="M37" s="481">
        <f t="shared" si="8"/>
        <v>85242.7</v>
      </c>
      <c r="N37" s="322">
        <f>47392.91+22187.5</f>
        <v>69580.41</v>
      </c>
      <c r="O37" s="418"/>
      <c r="P37" s="418"/>
      <c r="Q37" s="418"/>
      <c r="R37" s="418"/>
      <c r="S37" s="322">
        <f t="shared" si="9"/>
        <v>69580.41</v>
      </c>
      <c r="T37" s="322">
        <f t="shared" si="10"/>
        <v>15662.289999999994</v>
      </c>
      <c r="U37" s="307"/>
      <c r="V37" s="307"/>
      <c r="W37" s="307"/>
      <c r="X37" s="307"/>
      <c r="Y37" s="307"/>
      <c r="Z37" s="322">
        <v>85242.7</v>
      </c>
      <c r="AA37" s="322">
        <v>0</v>
      </c>
      <c r="AB37" s="322">
        <v>0</v>
      </c>
      <c r="AC37" s="322">
        <v>0</v>
      </c>
      <c r="AD37" s="322">
        <v>0</v>
      </c>
      <c r="AE37" s="322">
        <v>85242.7</v>
      </c>
      <c r="AP37" s="666" t="s">
        <v>1406</v>
      </c>
    </row>
    <row r="38" spans="1:42" ht="37.5">
      <c r="A38" t="s">
        <v>845</v>
      </c>
      <c r="B38" s="111">
        <v>3.6</v>
      </c>
      <c r="C38" s="376" t="s">
        <v>963</v>
      </c>
      <c r="D38" s="68" t="s">
        <v>96</v>
      </c>
      <c r="E38" s="69" t="s">
        <v>687</v>
      </c>
      <c r="F38" s="270"/>
      <c r="G38" s="533"/>
      <c r="H38" s="701">
        <v>59612.35</v>
      </c>
      <c r="I38" s="67">
        <v>0</v>
      </c>
      <c r="J38" s="67">
        <v>0</v>
      </c>
      <c r="K38" s="67">
        <v>0</v>
      </c>
      <c r="L38" s="67">
        <v>0</v>
      </c>
      <c r="M38" s="481">
        <f t="shared" si="8"/>
        <v>59612.35</v>
      </c>
      <c r="N38" s="322">
        <v>39248.230000000003</v>
      </c>
      <c r="O38" s="418"/>
      <c r="P38" s="418"/>
      <c r="Q38" s="418"/>
      <c r="R38" s="418"/>
      <c r="S38" s="322">
        <f t="shared" si="9"/>
        <v>39248.230000000003</v>
      </c>
      <c r="T38" s="322">
        <f t="shared" si="10"/>
        <v>20364.119999999995</v>
      </c>
      <c r="U38" s="307"/>
      <c r="V38" s="307"/>
      <c r="W38" s="307"/>
      <c r="X38" s="307"/>
      <c r="Y38" s="307"/>
      <c r="Z38" s="322">
        <v>59612.35</v>
      </c>
      <c r="AA38" s="322">
        <v>0</v>
      </c>
      <c r="AB38" s="322">
        <v>0</v>
      </c>
      <c r="AC38" s="322">
        <v>0</v>
      </c>
      <c r="AD38" s="322">
        <v>0</v>
      </c>
      <c r="AE38" s="322">
        <v>59612.35</v>
      </c>
      <c r="AP38" s="666" t="s">
        <v>1406</v>
      </c>
    </row>
    <row r="39" spans="1:42" ht="37.5">
      <c r="A39" t="s">
        <v>845</v>
      </c>
      <c r="B39" s="111">
        <v>3.7</v>
      </c>
      <c r="C39" s="376" t="s">
        <v>963</v>
      </c>
      <c r="D39" s="68" t="s">
        <v>97</v>
      </c>
      <c r="E39" s="69" t="s">
        <v>682</v>
      </c>
      <c r="F39" s="270"/>
      <c r="G39" s="533"/>
      <c r="H39" s="701">
        <v>17789.09</v>
      </c>
      <c r="I39" s="67">
        <v>0</v>
      </c>
      <c r="J39" s="67">
        <v>0</v>
      </c>
      <c r="K39" s="67">
        <v>0</v>
      </c>
      <c r="L39" s="67">
        <v>0</v>
      </c>
      <c r="M39" s="481">
        <f t="shared" si="8"/>
        <v>17789.09</v>
      </c>
      <c r="N39" s="322">
        <f>7233.53+7845.15</f>
        <v>15078.68</v>
      </c>
      <c r="O39" s="418"/>
      <c r="P39" s="418"/>
      <c r="Q39" s="418"/>
      <c r="R39" s="418"/>
      <c r="S39" s="322">
        <f t="shared" si="9"/>
        <v>15078.68</v>
      </c>
      <c r="T39" s="322">
        <f t="shared" si="10"/>
        <v>2710.41</v>
      </c>
      <c r="U39" s="307"/>
      <c r="V39" s="307"/>
      <c r="W39" s="307"/>
      <c r="X39" s="307"/>
      <c r="Y39" s="307"/>
      <c r="Z39" s="322">
        <v>17789.09</v>
      </c>
      <c r="AA39" s="322">
        <v>0</v>
      </c>
      <c r="AB39" s="322">
        <v>0</v>
      </c>
      <c r="AC39" s="322">
        <v>0</v>
      </c>
      <c r="AD39" s="322">
        <v>0</v>
      </c>
      <c r="AE39" s="322">
        <v>17789.09</v>
      </c>
      <c r="AP39" s="666" t="s">
        <v>1406</v>
      </c>
    </row>
    <row r="40" spans="1:42" ht="56.25">
      <c r="A40" t="s">
        <v>845</v>
      </c>
      <c r="B40" s="111">
        <v>3.8</v>
      </c>
      <c r="C40" s="376" t="s">
        <v>963</v>
      </c>
      <c r="D40" s="68" t="s">
        <v>70</v>
      </c>
      <c r="E40" s="69" t="s">
        <v>688</v>
      </c>
      <c r="F40" s="270"/>
      <c r="G40" s="533"/>
      <c r="H40" s="701">
        <v>70612.08</v>
      </c>
      <c r="I40" s="67">
        <v>0</v>
      </c>
      <c r="J40" s="67">
        <v>0</v>
      </c>
      <c r="K40" s="67">
        <v>0</v>
      </c>
      <c r="L40" s="67">
        <v>0</v>
      </c>
      <c r="M40" s="481">
        <f t="shared" si="8"/>
        <v>70612.08</v>
      </c>
      <c r="N40" s="322">
        <f>47526.45+9749.21</f>
        <v>57275.659999999996</v>
      </c>
      <c r="O40" s="418"/>
      <c r="P40" s="418"/>
      <c r="Q40" s="418"/>
      <c r="R40" s="418"/>
      <c r="S40" s="322">
        <f t="shared" si="9"/>
        <v>57275.659999999996</v>
      </c>
      <c r="T40" s="322">
        <f t="shared" si="10"/>
        <v>13336.420000000006</v>
      </c>
      <c r="U40" s="307"/>
      <c r="V40" s="307"/>
      <c r="W40" s="307"/>
      <c r="X40" s="307"/>
      <c r="Y40" s="307"/>
      <c r="Z40" s="322">
        <v>70612.08</v>
      </c>
      <c r="AA40" s="322">
        <v>0</v>
      </c>
      <c r="AB40" s="322">
        <v>0</v>
      </c>
      <c r="AC40" s="322">
        <v>0</v>
      </c>
      <c r="AD40" s="322">
        <v>0</v>
      </c>
      <c r="AE40" s="322">
        <v>70612.08</v>
      </c>
      <c r="AP40" s="666" t="s">
        <v>1406</v>
      </c>
    </row>
    <row r="41" spans="1:42" ht="37.5">
      <c r="B41" s="111">
        <v>4</v>
      </c>
      <c r="C41" s="247"/>
      <c r="D41" s="490" t="s">
        <v>98</v>
      </c>
      <c r="E41" s="69"/>
      <c r="F41" s="270"/>
      <c r="G41" s="533"/>
      <c r="H41" s="67">
        <v>0</v>
      </c>
      <c r="I41" s="67">
        <v>0</v>
      </c>
      <c r="J41" s="67">
        <v>0</v>
      </c>
      <c r="K41" s="67">
        <v>0</v>
      </c>
      <c r="L41" s="67">
        <v>0</v>
      </c>
      <c r="M41" s="481">
        <f t="shared" si="8"/>
        <v>0</v>
      </c>
      <c r="N41" s="322"/>
      <c r="O41" s="418"/>
      <c r="P41" s="418"/>
      <c r="Q41" s="418"/>
      <c r="R41" s="418"/>
      <c r="S41" s="322">
        <f t="shared" si="9"/>
        <v>0</v>
      </c>
      <c r="T41" s="322">
        <f t="shared" si="10"/>
        <v>0</v>
      </c>
      <c r="U41" s="307"/>
      <c r="V41" s="307"/>
      <c r="W41" s="307"/>
      <c r="X41" s="307"/>
      <c r="Y41" s="307"/>
      <c r="Z41" s="307"/>
      <c r="AA41" s="307"/>
      <c r="AB41" s="307"/>
      <c r="AC41" s="307"/>
      <c r="AD41" s="307"/>
      <c r="AE41" s="307"/>
      <c r="AP41" s="666"/>
    </row>
    <row r="42" spans="1:42" ht="37.5">
      <c r="A42" t="s">
        <v>845</v>
      </c>
      <c r="B42" s="111">
        <v>4.0999999999999996</v>
      </c>
      <c r="C42" s="376" t="s">
        <v>890</v>
      </c>
      <c r="D42" s="68" t="s">
        <v>46</v>
      </c>
      <c r="E42" s="69" t="s">
        <v>689</v>
      </c>
      <c r="F42" s="270"/>
      <c r="G42" s="533"/>
      <c r="H42" s="705">
        <v>950000</v>
      </c>
      <c r="I42" s="67">
        <v>0</v>
      </c>
      <c r="J42" s="67">
        <v>0</v>
      </c>
      <c r="K42" s="67">
        <v>0</v>
      </c>
      <c r="L42" s="67">
        <v>0</v>
      </c>
      <c r="M42" s="481">
        <f t="shared" si="8"/>
        <v>950000</v>
      </c>
      <c r="N42" s="322">
        <v>86811.21</v>
      </c>
      <c r="O42" s="418"/>
      <c r="P42" s="418"/>
      <c r="Q42" s="418"/>
      <c r="R42" s="418"/>
      <c r="S42" s="322">
        <f t="shared" si="9"/>
        <v>86811.21</v>
      </c>
      <c r="T42" s="322">
        <f t="shared" si="10"/>
        <v>863188.79</v>
      </c>
      <c r="U42" s="307"/>
      <c r="V42" s="307"/>
      <c r="W42" s="307"/>
      <c r="X42" s="307"/>
      <c r="Y42" s="307"/>
      <c r="Z42" s="322">
        <v>918525.33</v>
      </c>
      <c r="AA42" s="322">
        <v>0</v>
      </c>
      <c r="AB42" s="322">
        <v>0</v>
      </c>
      <c r="AC42" s="322">
        <v>0</v>
      </c>
      <c r="AD42" s="322">
        <v>0</v>
      </c>
      <c r="AE42" s="322">
        <f>SUM(Z42:AD42)</f>
        <v>918525.33</v>
      </c>
      <c r="AF42" s="703">
        <f>H42-Z42</f>
        <v>31474.670000000042</v>
      </c>
      <c r="AP42" s="666" t="s">
        <v>1406</v>
      </c>
    </row>
    <row r="43" spans="1:42" ht="37.5">
      <c r="A43" t="s">
        <v>845</v>
      </c>
      <c r="B43" s="111">
        <v>4.2</v>
      </c>
      <c r="C43" s="376" t="s">
        <v>1046</v>
      </c>
      <c r="D43" s="235" t="s">
        <v>47</v>
      </c>
      <c r="E43" s="69" t="s">
        <v>690</v>
      </c>
      <c r="F43" s="270"/>
      <c r="G43" s="533"/>
      <c r="H43" s="705">
        <v>1000000</v>
      </c>
      <c r="I43" s="67">
        <v>0</v>
      </c>
      <c r="J43" s="67">
        <v>0</v>
      </c>
      <c r="K43" s="67">
        <v>0</v>
      </c>
      <c r="L43" s="67">
        <v>0</v>
      </c>
      <c r="M43" s="481">
        <f t="shared" si="8"/>
        <v>1000000</v>
      </c>
      <c r="N43" s="322">
        <v>87567.360000000001</v>
      </c>
      <c r="O43" s="418"/>
      <c r="P43" s="418"/>
      <c r="Q43" s="418"/>
      <c r="R43" s="418"/>
      <c r="S43" s="322">
        <f t="shared" si="9"/>
        <v>87567.360000000001</v>
      </c>
      <c r="T43" s="322">
        <f t="shared" si="10"/>
        <v>912432.64000000001</v>
      </c>
      <c r="U43" s="307"/>
      <c r="V43" s="307"/>
      <c r="W43" s="307"/>
      <c r="X43" s="307"/>
      <c r="Y43" s="307"/>
      <c r="Z43" s="322">
        <v>988995.39</v>
      </c>
      <c r="AA43" s="322">
        <v>0</v>
      </c>
      <c r="AB43" s="322">
        <v>0</v>
      </c>
      <c r="AC43" s="322">
        <v>0</v>
      </c>
      <c r="AD43" s="322">
        <v>0</v>
      </c>
      <c r="AE43" s="322">
        <f>SUM(Z43:AD43)</f>
        <v>988995.39</v>
      </c>
      <c r="AF43" s="703">
        <f>H43-Z43</f>
        <v>11004.609999999986</v>
      </c>
      <c r="AP43" s="666" t="s">
        <v>1405</v>
      </c>
    </row>
    <row r="44" spans="1:42" ht="78.75">
      <c r="A44" t="s">
        <v>845</v>
      </c>
      <c r="B44" s="111">
        <v>4.3</v>
      </c>
      <c r="C44" s="376" t="s">
        <v>880</v>
      </c>
      <c r="D44" s="235" t="s">
        <v>48</v>
      </c>
      <c r="E44" s="69" t="s">
        <v>683</v>
      </c>
      <c r="F44" s="531" t="s">
        <v>1387</v>
      </c>
      <c r="G44" s="791" t="s">
        <v>1486</v>
      </c>
      <c r="H44" s="701">
        <v>1050000</v>
      </c>
      <c r="I44" s="67">
        <f>33980.88-2006.52</f>
        <v>31974.359999999997</v>
      </c>
      <c r="J44" s="67">
        <v>0</v>
      </c>
      <c r="K44" s="67">
        <v>0</v>
      </c>
      <c r="L44" s="67">
        <v>0</v>
      </c>
      <c r="M44" s="481">
        <f t="shared" si="8"/>
        <v>1081974.3600000001</v>
      </c>
      <c r="N44" s="322">
        <f>286960.1+370627.63+253236.85</f>
        <v>910824.58</v>
      </c>
      <c r="O44" s="418"/>
      <c r="P44" s="418"/>
      <c r="Q44" s="418"/>
      <c r="R44" s="418"/>
      <c r="S44" s="322">
        <f t="shared" si="9"/>
        <v>910824.58</v>
      </c>
      <c r="T44" s="322">
        <f t="shared" si="10"/>
        <v>139175.42000000004</v>
      </c>
      <c r="U44" s="307"/>
      <c r="V44" s="307"/>
      <c r="W44" s="307"/>
      <c r="X44" s="307"/>
      <c r="Y44" s="307"/>
      <c r="Z44" s="322">
        <f>1012974.36+37025.64</f>
        <v>1050000</v>
      </c>
      <c r="AA44" s="322">
        <v>31974.36</v>
      </c>
      <c r="AB44" s="322">
        <v>0</v>
      </c>
      <c r="AC44" s="322">
        <v>0</v>
      </c>
      <c r="AD44" s="322">
        <v>0</v>
      </c>
      <c r="AE44" s="322">
        <f>SUM(Z44:AD44)</f>
        <v>1081974.3600000001</v>
      </c>
      <c r="AF44" s="804">
        <v>2006.52</v>
      </c>
      <c r="AG44" s="651"/>
      <c r="AP44" s="666" t="s">
        <v>1406</v>
      </c>
    </row>
    <row r="45" spans="1:42" ht="78.75">
      <c r="A45" t="s">
        <v>955</v>
      </c>
      <c r="B45" s="111">
        <v>4.4000000000000004</v>
      </c>
      <c r="C45" s="376" t="s">
        <v>879</v>
      </c>
      <c r="D45" s="235" t="s">
        <v>49</v>
      </c>
      <c r="E45" s="69" t="s">
        <v>50</v>
      </c>
      <c r="F45" s="531" t="s">
        <v>1388</v>
      </c>
      <c r="G45" s="791" t="s">
        <v>1487</v>
      </c>
      <c r="H45" s="701">
        <v>1572000</v>
      </c>
      <c r="I45" s="67">
        <f>21000-2563.47</f>
        <v>18436.53</v>
      </c>
      <c r="J45" s="67">
        <v>0</v>
      </c>
      <c r="K45" s="67">
        <v>0</v>
      </c>
      <c r="L45" s="67">
        <v>0</v>
      </c>
      <c r="M45" s="481">
        <f t="shared" si="8"/>
        <v>1590436.53</v>
      </c>
      <c r="N45" s="322">
        <f>355578.48+883782.13+165745.97+166893.42</f>
        <v>1571999.9999999998</v>
      </c>
      <c r="O45" s="322">
        <v>18436.53</v>
      </c>
      <c r="P45" s="418"/>
      <c r="Q45" s="418"/>
      <c r="R45" s="418"/>
      <c r="S45" s="322">
        <f t="shared" si="9"/>
        <v>1590436.5299999998</v>
      </c>
      <c r="T45" s="535">
        <f t="shared" si="10"/>
        <v>0</v>
      </c>
      <c r="U45" s="419">
        <f>+I45-O45</f>
        <v>0</v>
      </c>
      <c r="V45" s="307"/>
      <c r="W45" s="307"/>
      <c r="X45" s="307"/>
      <c r="Y45" s="307"/>
      <c r="Z45" s="322">
        <f>1500000+69949.65+2050.35</f>
        <v>1572000</v>
      </c>
      <c r="AA45" s="322">
        <v>18436.53</v>
      </c>
      <c r="AB45" s="322">
        <v>0</v>
      </c>
      <c r="AC45" s="322">
        <v>0</v>
      </c>
      <c r="AD45" s="322">
        <v>0</v>
      </c>
      <c r="AE45" s="322">
        <f>SUM(Z45:AD45)</f>
        <v>1590436.53</v>
      </c>
      <c r="AF45" s="804">
        <v>2563.4699999999998</v>
      </c>
      <c r="AG45" s="651"/>
      <c r="AP45" s="666" t="s">
        <v>1406</v>
      </c>
    </row>
    <row r="46" spans="1:42" ht="37.5">
      <c r="B46" s="111">
        <v>5</v>
      </c>
      <c r="C46" s="376" t="s">
        <v>837</v>
      </c>
      <c r="D46" s="235" t="s">
        <v>89</v>
      </c>
      <c r="E46" s="69" t="s">
        <v>682</v>
      </c>
      <c r="F46" s="270" t="s">
        <v>29</v>
      </c>
      <c r="G46" s="533"/>
      <c r="H46" s="701">
        <v>838584.72</v>
      </c>
      <c r="I46" s="67">
        <v>0</v>
      </c>
      <c r="J46" s="67">
        <v>0</v>
      </c>
      <c r="K46" s="67">
        <v>0</v>
      </c>
      <c r="L46" s="67">
        <v>0</v>
      </c>
      <c r="M46" s="481">
        <f t="shared" si="8"/>
        <v>838584.72</v>
      </c>
      <c r="N46" s="322">
        <f>12170.96+154619.75+75141.23+76205.72+160675.42</f>
        <v>478813.08000000007</v>
      </c>
      <c r="O46" s="418"/>
      <c r="P46" s="418"/>
      <c r="Q46" s="418"/>
      <c r="R46" s="418"/>
      <c r="S46" s="322">
        <f t="shared" si="9"/>
        <v>478813.08000000007</v>
      </c>
      <c r="T46" s="322">
        <f t="shared" si="10"/>
        <v>359771.6399999999</v>
      </c>
      <c r="U46" s="307"/>
      <c r="V46" s="307"/>
      <c r="W46" s="307"/>
      <c r="X46" s="307"/>
      <c r="Y46" s="307"/>
      <c r="Z46" s="322">
        <v>838584.72</v>
      </c>
      <c r="AA46" s="322">
        <v>0</v>
      </c>
      <c r="AB46" s="322">
        <v>0</v>
      </c>
      <c r="AC46" s="322">
        <v>0</v>
      </c>
      <c r="AD46" s="322">
        <v>0</v>
      </c>
      <c r="AE46" s="322">
        <f t="shared" ref="AE46:AE48" si="11">SUM(Z46:AD46)</f>
        <v>838584.72</v>
      </c>
      <c r="AP46" s="666" t="s">
        <v>1405</v>
      </c>
    </row>
    <row r="47" spans="1:42" ht="37.5">
      <c r="A47" t="s">
        <v>845</v>
      </c>
      <c r="B47" s="111">
        <v>6</v>
      </c>
      <c r="C47" s="376" t="s">
        <v>877</v>
      </c>
      <c r="D47" s="235" t="s">
        <v>71</v>
      </c>
      <c r="E47" s="69" t="s">
        <v>682</v>
      </c>
      <c r="F47" s="270"/>
      <c r="G47" s="533"/>
      <c r="H47" s="707">
        <v>300000</v>
      </c>
      <c r="I47" s="67">
        <v>0</v>
      </c>
      <c r="J47" s="67">
        <v>0</v>
      </c>
      <c r="K47" s="67">
        <v>0</v>
      </c>
      <c r="L47" s="67">
        <v>0</v>
      </c>
      <c r="M47" s="481">
        <f t="shared" si="8"/>
        <v>300000</v>
      </c>
      <c r="N47" s="322">
        <f>9577.22+68068.1+111653.34+52704.16</f>
        <v>242002.82</v>
      </c>
      <c r="O47" s="418"/>
      <c r="P47" s="418"/>
      <c r="Q47" s="418"/>
      <c r="R47" s="418"/>
      <c r="S47" s="322">
        <f t="shared" si="9"/>
        <v>242002.82</v>
      </c>
      <c r="T47" s="322">
        <f t="shared" si="10"/>
        <v>57997.179999999993</v>
      </c>
      <c r="U47" s="307"/>
      <c r="V47" s="307"/>
      <c r="W47" s="307"/>
      <c r="X47" s="307"/>
      <c r="Y47" s="307"/>
      <c r="Z47" s="322">
        <v>297033.71000000002</v>
      </c>
      <c r="AA47" s="322">
        <v>0</v>
      </c>
      <c r="AB47" s="322">
        <v>0</v>
      </c>
      <c r="AC47" s="322">
        <v>0</v>
      </c>
      <c r="AD47" s="322">
        <v>0</v>
      </c>
      <c r="AE47" s="322">
        <f t="shared" ref="AE47" si="12">SUM(Z47:AD47)</f>
        <v>297033.71000000002</v>
      </c>
      <c r="AF47" s="703">
        <f>H47-Z47</f>
        <v>2966.289999999979</v>
      </c>
      <c r="AP47" s="666" t="s">
        <v>1406</v>
      </c>
    </row>
    <row r="48" spans="1:42" ht="37.5">
      <c r="A48" t="s">
        <v>845</v>
      </c>
      <c r="B48" s="233">
        <v>7</v>
      </c>
      <c r="C48" s="376" t="s">
        <v>856</v>
      </c>
      <c r="D48" s="422" t="s">
        <v>51</v>
      </c>
      <c r="E48" s="69" t="s">
        <v>689</v>
      </c>
      <c r="F48" s="531"/>
      <c r="G48" s="737"/>
      <c r="H48" s="701">
        <v>599730.96</v>
      </c>
      <c r="I48" s="67">
        <v>0</v>
      </c>
      <c r="J48" s="67">
        <v>0</v>
      </c>
      <c r="K48" s="67">
        <v>0</v>
      </c>
      <c r="L48" s="67">
        <v>0</v>
      </c>
      <c r="M48" s="481">
        <f t="shared" si="8"/>
        <v>599730.96</v>
      </c>
      <c r="N48" s="322">
        <f>107890.66+254679.4+101348.45+24985.5</f>
        <v>488904.01</v>
      </c>
      <c r="O48" s="418"/>
      <c r="P48" s="418"/>
      <c r="Q48" s="418"/>
      <c r="R48" s="418"/>
      <c r="S48" s="322">
        <f t="shared" si="9"/>
        <v>488904.01</v>
      </c>
      <c r="T48" s="322">
        <f t="shared" si="10"/>
        <v>110826.94999999995</v>
      </c>
      <c r="U48" s="307"/>
      <c r="V48" s="307"/>
      <c r="W48" s="307"/>
      <c r="X48" s="307"/>
      <c r="Y48" s="307"/>
      <c r="Z48" s="322">
        <f>500000+99730.96</f>
        <v>599730.96</v>
      </c>
      <c r="AA48" s="322">
        <v>0</v>
      </c>
      <c r="AB48" s="322">
        <v>0</v>
      </c>
      <c r="AC48" s="322">
        <v>0</v>
      </c>
      <c r="AD48" s="322">
        <v>0</v>
      </c>
      <c r="AE48" s="322">
        <f t="shared" si="11"/>
        <v>599730.96</v>
      </c>
      <c r="AF48" s="421"/>
      <c r="AP48" s="666" t="s">
        <v>1406</v>
      </c>
    </row>
    <row r="49" spans="1:42" ht="37.5">
      <c r="B49" s="111">
        <v>8</v>
      </c>
      <c r="C49" s="376" t="s">
        <v>956</v>
      </c>
      <c r="D49" s="235" t="s">
        <v>52</v>
      </c>
      <c r="E49" s="69" t="s">
        <v>691</v>
      </c>
      <c r="F49" s="270"/>
      <c r="G49" s="533"/>
      <c r="H49" s="705">
        <v>850000</v>
      </c>
      <c r="I49" s="67">
        <v>0</v>
      </c>
      <c r="J49" s="67">
        <v>0</v>
      </c>
      <c r="K49" s="67">
        <v>0</v>
      </c>
      <c r="L49" s="67">
        <v>0</v>
      </c>
      <c r="M49" s="481">
        <f t="shared" si="8"/>
        <v>850000</v>
      </c>
      <c r="N49" s="322">
        <f>234078.77+172942.97</f>
        <v>407021.74</v>
      </c>
      <c r="O49" s="418"/>
      <c r="P49" s="418"/>
      <c r="Q49" s="418"/>
      <c r="R49" s="418"/>
      <c r="S49" s="322">
        <f t="shared" si="9"/>
        <v>407021.74</v>
      </c>
      <c r="T49" s="322">
        <f t="shared" si="10"/>
        <v>442978.26</v>
      </c>
      <c r="U49" s="307"/>
      <c r="V49" s="307"/>
      <c r="W49" s="307"/>
      <c r="X49" s="307"/>
      <c r="Y49" s="307"/>
      <c r="Z49" s="322">
        <v>849866.37</v>
      </c>
      <c r="AA49" s="322">
        <v>0</v>
      </c>
      <c r="AB49" s="322">
        <v>0</v>
      </c>
      <c r="AC49" s="322">
        <v>0</v>
      </c>
      <c r="AD49" s="322">
        <v>0</v>
      </c>
      <c r="AE49" s="322">
        <f t="shared" ref="AE49" si="13">SUM(Z49:AD49)</f>
        <v>849866.37</v>
      </c>
      <c r="AF49" s="703">
        <f>H49-Z49</f>
        <v>133.63000000000466</v>
      </c>
      <c r="AP49" s="666" t="s">
        <v>1406</v>
      </c>
    </row>
    <row r="50" spans="1:42" ht="90.75" customHeight="1">
      <c r="B50" s="111">
        <v>9</v>
      </c>
      <c r="C50" s="184" t="s">
        <v>437</v>
      </c>
      <c r="D50" s="235" t="s">
        <v>53</v>
      </c>
      <c r="E50" s="69" t="s">
        <v>54</v>
      </c>
      <c r="F50" s="270"/>
      <c r="G50" s="791" t="s">
        <v>1465</v>
      </c>
      <c r="H50" s="705">
        <f>228617.55-8481.06</f>
        <v>220136.49</v>
      </c>
      <c r="I50" s="67">
        <v>0</v>
      </c>
      <c r="J50" s="67">
        <v>0</v>
      </c>
      <c r="K50" s="67">
        <v>0</v>
      </c>
      <c r="L50" s="67">
        <v>0</v>
      </c>
      <c r="M50" s="494">
        <f t="shared" si="8"/>
        <v>220136.49</v>
      </c>
      <c r="N50" s="322">
        <f>78598.81+118922.85+22614.83</f>
        <v>220136.49</v>
      </c>
      <c r="O50" s="418"/>
      <c r="P50" s="418"/>
      <c r="Q50" s="418"/>
      <c r="R50" s="418"/>
      <c r="S50" s="322">
        <f t="shared" si="9"/>
        <v>220136.49</v>
      </c>
      <c r="T50" s="535">
        <f t="shared" si="10"/>
        <v>0</v>
      </c>
      <c r="U50" s="307"/>
      <c r="V50" s="307"/>
      <c r="W50" s="307"/>
      <c r="X50" s="307"/>
      <c r="Y50" s="307"/>
      <c r="Z50" s="322">
        <v>220136.51</v>
      </c>
      <c r="AA50" s="322">
        <v>64269.62</v>
      </c>
      <c r="AB50" s="322">
        <v>0</v>
      </c>
      <c r="AC50" s="322">
        <v>0</v>
      </c>
      <c r="AD50" s="322">
        <v>0</v>
      </c>
      <c r="AE50" s="434">
        <f>SUM(Z50:AD50)</f>
        <v>284406.13</v>
      </c>
      <c r="AF50" s="703">
        <v>8481.06</v>
      </c>
      <c r="AP50" s="666"/>
    </row>
    <row r="51" spans="1:42" ht="56.25">
      <c r="A51" t="s">
        <v>845</v>
      </c>
      <c r="B51" s="233">
        <v>10</v>
      </c>
      <c r="C51" s="376" t="s">
        <v>876</v>
      </c>
      <c r="D51" s="237" t="s">
        <v>55</v>
      </c>
      <c r="E51" s="69" t="s">
        <v>56</v>
      </c>
      <c r="F51" s="270"/>
      <c r="G51" s="533"/>
      <c r="H51" s="705">
        <v>349190.8</v>
      </c>
      <c r="I51" s="67">
        <v>0</v>
      </c>
      <c r="J51" s="67">
        <v>0</v>
      </c>
      <c r="K51" s="67">
        <v>0</v>
      </c>
      <c r="L51" s="67">
        <v>0</v>
      </c>
      <c r="M51" s="481">
        <f t="shared" si="8"/>
        <v>349190.8</v>
      </c>
      <c r="N51" s="322">
        <f>87884.37+92236.47</f>
        <v>180120.84</v>
      </c>
      <c r="O51" s="418"/>
      <c r="P51" s="418"/>
      <c r="Q51" s="418"/>
      <c r="R51" s="418"/>
      <c r="S51" s="322">
        <f t="shared" si="9"/>
        <v>180120.84</v>
      </c>
      <c r="T51" s="322">
        <f t="shared" si="10"/>
        <v>169069.96</v>
      </c>
      <c r="U51" s="307"/>
      <c r="V51" s="307"/>
      <c r="W51" s="307"/>
      <c r="X51" s="307"/>
      <c r="Y51" s="307"/>
      <c r="Z51" s="322">
        <f>303190.8+27785.24</f>
        <v>330976.03999999998</v>
      </c>
      <c r="AA51" s="322">
        <v>0</v>
      </c>
      <c r="AB51" s="322">
        <v>0</v>
      </c>
      <c r="AC51" s="322">
        <v>0</v>
      </c>
      <c r="AD51" s="322">
        <v>0</v>
      </c>
      <c r="AE51" s="434">
        <f t="shared" ref="AE51:AE55" si="14">SUM(Z51:AD51)</f>
        <v>330976.03999999998</v>
      </c>
      <c r="AF51" s="703">
        <f>H51-Z51</f>
        <v>18214.760000000009</v>
      </c>
      <c r="AP51" s="666" t="s">
        <v>1406</v>
      </c>
    </row>
    <row r="52" spans="1:42" ht="37.5">
      <c r="B52" s="111">
        <v>11</v>
      </c>
      <c r="C52" s="376" t="s">
        <v>840</v>
      </c>
      <c r="D52" s="235" t="s">
        <v>57</v>
      </c>
      <c r="E52" s="69" t="s">
        <v>58</v>
      </c>
      <c r="F52" s="270"/>
      <c r="G52" s="533"/>
      <c r="H52" s="701">
        <v>270000</v>
      </c>
      <c r="I52" s="67">
        <v>0</v>
      </c>
      <c r="J52" s="67">
        <v>0</v>
      </c>
      <c r="K52" s="67">
        <v>0</v>
      </c>
      <c r="L52" s="67">
        <v>0</v>
      </c>
      <c r="M52" s="494">
        <f t="shared" si="8"/>
        <v>270000</v>
      </c>
      <c r="N52" s="322">
        <f>133714.79+54100.37+82184.84</f>
        <v>270000</v>
      </c>
      <c r="O52" s="418"/>
      <c r="P52" s="418"/>
      <c r="Q52" s="418"/>
      <c r="R52" s="418"/>
      <c r="S52" s="322">
        <f t="shared" si="9"/>
        <v>270000</v>
      </c>
      <c r="T52" s="535">
        <f t="shared" si="10"/>
        <v>0</v>
      </c>
      <c r="U52" s="307"/>
      <c r="V52" s="307"/>
      <c r="W52" s="307"/>
      <c r="X52" s="307"/>
      <c r="Y52" s="307"/>
      <c r="Z52" s="322">
        <f>209451.14+60548.86</f>
        <v>270000</v>
      </c>
      <c r="AA52" s="322">
        <v>0</v>
      </c>
      <c r="AB52" s="322">
        <v>0</v>
      </c>
      <c r="AC52" s="322">
        <v>0</v>
      </c>
      <c r="AD52" s="322">
        <v>0</v>
      </c>
      <c r="AE52" s="434">
        <f t="shared" si="14"/>
        <v>270000</v>
      </c>
      <c r="AF52" s="182"/>
      <c r="AP52" s="666"/>
    </row>
    <row r="53" spans="1:42" ht="37.5">
      <c r="B53" s="111">
        <v>12</v>
      </c>
      <c r="C53" s="376" t="s">
        <v>841</v>
      </c>
      <c r="D53" s="235" t="s">
        <v>99</v>
      </c>
      <c r="E53" s="69" t="s">
        <v>692</v>
      </c>
      <c r="F53" s="270"/>
      <c r="G53" s="533"/>
      <c r="H53" s="701">
        <v>849933.38</v>
      </c>
      <c r="I53" s="67">
        <v>0</v>
      </c>
      <c r="J53" s="67">
        <v>0</v>
      </c>
      <c r="K53" s="67">
        <v>0</v>
      </c>
      <c r="L53" s="67">
        <v>0</v>
      </c>
      <c r="M53" s="481">
        <f t="shared" si="8"/>
        <v>849933.38</v>
      </c>
      <c r="N53" s="322">
        <f>157412.34+166080.55+301017.42+140428.68+84994.39</f>
        <v>849933.38</v>
      </c>
      <c r="O53" s="418"/>
      <c r="P53" s="418"/>
      <c r="Q53" s="418"/>
      <c r="R53" s="418"/>
      <c r="S53" s="322">
        <f t="shared" si="9"/>
        <v>849933.38</v>
      </c>
      <c r="T53" s="535">
        <f t="shared" si="10"/>
        <v>0</v>
      </c>
      <c r="U53" s="307"/>
      <c r="V53" s="307"/>
      <c r="W53" s="307"/>
      <c r="X53" s="307"/>
      <c r="Y53" s="307"/>
      <c r="Z53" s="322">
        <v>849933.38</v>
      </c>
      <c r="AA53" s="322">
        <v>0</v>
      </c>
      <c r="AB53" s="322">
        <v>0</v>
      </c>
      <c r="AC53" s="322">
        <v>0</v>
      </c>
      <c r="AD53" s="322">
        <v>0</v>
      </c>
      <c r="AE53" s="434">
        <f t="shared" si="14"/>
        <v>849933.38</v>
      </c>
      <c r="AF53" s="710">
        <v>86483.42</v>
      </c>
      <c r="AP53" s="666"/>
    </row>
    <row r="54" spans="1:42" ht="54">
      <c r="B54" s="111">
        <v>13</v>
      </c>
      <c r="C54" s="455" t="s">
        <v>1124</v>
      </c>
      <c r="D54" s="514" t="s">
        <v>1126</v>
      </c>
      <c r="E54" s="450" t="s">
        <v>68</v>
      </c>
      <c r="F54" s="431" t="s">
        <v>1454</v>
      </c>
      <c r="G54" s="791" t="s">
        <v>1462</v>
      </c>
      <c r="H54" s="704">
        <f>100000+84985.81</f>
        <v>184985.81</v>
      </c>
      <c r="I54" s="67">
        <v>0</v>
      </c>
      <c r="J54" s="67">
        <v>0</v>
      </c>
      <c r="K54" s="67">
        <v>100000</v>
      </c>
      <c r="L54" s="67">
        <v>0</v>
      </c>
      <c r="M54" s="481">
        <f t="shared" si="8"/>
        <v>284985.81</v>
      </c>
      <c r="N54" s="418"/>
      <c r="O54" s="418"/>
      <c r="P54" s="418"/>
      <c r="Q54" s="418"/>
      <c r="R54" s="418"/>
      <c r="S54" s="322"/>
      <c r="T54" s="307"/>
      <c r="U54" s="307"/>
      <c r="V54" s="307"/>
      <c r="W54" s="307"/>
      <c r="X54" s="307"/>
      <c r="Y54" s="307"/>
      <c r="Z54" s="322">
        <v>98502.39</v>
      </c>
      <c r="AA54" s="322">
        <v>0</v>
      </c>
      <c r="AB54" s="322">
        <v>0</v>
      </c>
      <c r="AC54" s="322">
        <v>98502.39</v>
      </c>
      <c r="AD54" s="322">
        <v>0</v>
      </c>
      <c r="AE54" s="434">
        <f t="shared" si="14"/>
        <v>197004.78</v>
      </c>
      <c r="AF54" s="703">
        <f>H54-Z54</f>
        <v>86483.42</v>
      </c>
      <c r="AG54" s="182">
        <f>AF53-AF54</f>
        <v>0</v>
      </c>
      <c r="AH54" s="182">
        <f>100000-Z54</f>
        <v>1497.6100000000006</v>
      </c>
      <c r="AI54" s="182">
        <f>Z54+AF54</f>
        <v>184985.81</v>
      </c>
      <c r="AP54" s="666"/>
    </row>
    <row r="55" spans="1:42" ht="30">
      <c r="B55" s="111">
        <v>14</v>
      </c>
      <c r="C55" s="178" t="s">
        <v>1165</v>
      </c>
      <c r="D55" s="590" t="s">
        <v>1059</v>
      </c>
      <c r="E55" s="450" t="s">
        <v>899</v>
      </c>
      <c r="F55" s="649"/>
      <c r="G55" s="739"/>
      <c r="H55" s="701">
        <v>120000</v>
      </c>
      <c r="I55" s="67">
        <v>131486.71</v>
      </c>
      <c r="J55" s="67">
        <v>0</v>
      </c>
      <c r="K55" s="67">
        <v>0</v>
      </c>
      <c r="L55" s="67">
        <v>0</v>
      </c>
      <c r="M55" s="481">
        <f t="shared" si="8"/>
        <v>251486.71</v>
      </c>
      <c r="N55" s="418"/>
      <c r="O55" s="418"/>
      <c r="P55" s="418"/>
      <c r="Q55" s="418"/>
      <c r="R55" s="418"/>
      <c r="S55" s="322"/>
      <c r="T55" s="322">
        <f>+H55-N55</f>
        <v>120000</v>
      </c>
      <c r="U55" s="322">
        <f>+I55-O55</f>
        <v>131486.71</v>
      </c>
      <c r="V55" s="307"/>
      <c r="W55" s="307"/>
      <c r="X55" s="307"/>
      <c r="Y55" s="307"/>
      <c r="Z55" s="322">
        <v>120000</v>
      </c>
      <c r="AA55" s="322">
        <v>131486.71</v>
      </c>
      <c r="AB55" s="322">
        <v>0</v>
      </c>
      <c r="AC55" s="322">
        <v>0</v>
      </c>
      <c r="AD55" s="322">
        <v>0</v>
      </c>
      <c r="AE55" s="434">
        <f t="shared" si="14"/>
        <v>251486.71</v>
      </c>
      <c r="AP55" s="666"/>
    </row>
    <row r="56" spans="1:42" ht="78.75">
      <c r="A56" t="s">
        <v>845</v>
      </c>
      <c r="B56" s="111">
        <v>15</v>
      </c>
      <c r="C56" s="247" t="s">
        <v>767</v>
      </c>
      <c r="D56" s="235" t="s">
        <v>10</v>
      </c>
      <c r="E56" s="69" t="s">
        <v>693</v>
      </c>
      <c r="F56" s="431" t="s">
        <v>1453</v>
      </c>
      <c r="G56" s="791" t="s">
        <v>1506</v>
      </c>
      <c r="H56" s="67">
        <v>0</v>
      </c>
      <c r="I56" s="67">
        <f>6000000+222433.06</f>
        <v>6222433.0599999996</v>
      </c>
      <c r="J56" s="67">
        <v>0</v>
      </c>
      <c r="K56" s="67">
        <v>0</v>
      </c>
      <c r="L56" s="67">
        <v>0</v>
      </c>
      <c r="M56" s="481">
        <f t="shared" si="8"/>
        <v>6222433.0599999996</v>
      </c>
      <c r="N56" s="418"/>
      <c r="O56" s="322">
        <f>114727.99+294506.97+653206.41+339300.92+503398.58+803803.27+1700618.32+454008.11+1067628.69</f>
        <v>5931199.2599999998</v>
      </c>
      <c r="P56" s="418"/>
      <c r="Q56" s="418"/>
      <c r="R56" s="418"/>
      <c r="S56" s="322">
        <f>SUM(N56:R56)</f>
        <v>5931199.2599999998</v>
      </c>
      <c r="T56" s="307"/>
      <c r="U56" s="322">
        <f>+I56-O56</f>
        <v>291233.79999999981</v>
      </c>
      <c r="V56" s="307"/>
      <c r="W56" s="307"/>
      <c r="X56" s="307"/>
      <c r="Y56" s="307"/>
      <c r="Z56" s="322">
        <v>0</v>
      </c>
      <c r="AA56" s="322">
        <v>5931486.9699999997</v>
      </c>
      <c r="AB56" s="322">
        <v>0</v>
      </c>
      <c r="AC56" s="322">
        <v>0</v>
      </c>
      <c r="AD56" s="322">
        <v>0</v>
      </c>
      <c r="AE56" s="434">
        <f>SUM(Z56:AD56)</f>
        <v>5931486.9699999997</v>
      </c>
      <c r="AF56" s="805">
        <f>290946.09-68513.03</f>
        <v>222433.06000000003</v>
      </c>
      <c r="AH56" s="182"/>
      <c r="AI56" s="182">
        <f>5931486.97+524939.83</f>
        <v>6456426.7999999998</v>
      </c>
      <c r="AJ56" s="805">
        <f>524939.83-68513.03</f>
        <v>456426.79999999993</v>
      </c>
      <c r="AK56" s="805"/>
      <c r="AL56" s="805"/>
      <c r="AM56" s="805"/>
      <c r="AN56" s="805"/>
      <c r="AO56" s="805"/>
      <c r="AP56" s="666" t="s">
        <v>1407</v>
      </c>
    </row>
    <row r="57" spans="1:42" ht="37.5">
      <c r="B57" s="111">
        <v>16</v>
      </c>
      <c r="C57" s="247"/>
      <c r="D57" s="235" t="s">
        <v>11</v>
      </c>
      <c r="E57" s="69" t="s">
        <v>72</v>
      </c>
      <c r="F57" s="270"/>
      <c r="G57" s="533"/>
      <c r="H57" s="67">
        <v>0</v>
      </c>
      <c r="I57" s="67">
        <v>0</v>
      </c>
      <c r="J57" s="67">
        <v>11000000</v>
      </c>
      <c r="K57" s="67">
        <v>0</v>
      </c>
      <c r="L57" s="67">
        <v>0</v>
      </c>
      <c r="M57" s="481">
        <f t="shared" si="8"/>
        <v>11000000</v>
      </c>
      <c r="N57" s="418"/>
      <c r="O57" s="418"/>
      <c r="P57" s="418"/>
      <c r="Q57" s="418"/>
      <c r="R57" s="418"/>
      <c r="S57" s="322">
        <f t="shared" si="9"/>
        <v>0</v>
      </c>
      <c r="T57" s="307"/>
      <c r="U57" s="307"/>
      <c r="V57" s="307"/>
      <c r="W57" s="307"/>
      <c r="X57" s="307"/>
      <c r="Y57" s="307"/>
      <c r="Z57" s="307"/>
      <c r="AA57" s="307"/>
      <c r="AB57" s="307"/>
      <c r="AC57" s="307"/>
      <c r="AD57" s="307"/>
      <c r="AE57" s="307"/>
      <c r="AP57" s="666"/>
    </row>
    <row r="58" spans="1:42" ht="37.5">
      <c r="B58" s="111">
        <v>17</v>
      </c>
      <c r="C58" s="247"/>
      <c r="D58" s="235" t="s">
        <v>774</v>
      </c>
      <c r="E58" s="69" t="s">
        <v>694</v>
      </c>
      <c r="F58" s="270"/>
      <c r="G58" s="731"/>
      <c r="H58" s="302">
        <v>0</v>
      </c>
      <c r="I58" s="302">
        <v>0</v>
      </c>
      <c r="J58" s="302">
        <v>20000</v>
      </c>
      <c r="K58" s="302">
        <v>0</v>
      </c>
      <c r="L58" s="302">
        <v>0</v>
      </c>
      <c r="M58" s="494">
        <f t="shared" si="8"/>
        <v>20000</v>
      </c>
      <c r="N58" s="418"/>
      <c r="O58" s="418"/>
      <c r="P58" s="418"/>
      <c r="Q58" s="418"/>
      <c r="R58" s="418"/>
      <c r="S58" s="322">
        <f t="shared" si="9"/>
        <v>0</v>
      </c>
      <c r="T58" s="307"/>
      <c r="U58" s="307"/>
      <c r="V58" s="307"/>
      <c r="W58" s="307"/>
      <c r="X58" s="307"/>
      <c r="Y58" s="307"/>
      <c r="Z58" s="307"/>
      <c r="AA58" s="307"/>
      <c r="AB58" s="307"/>
      <c r="AC58" s="307"/>
      <c r="AD58" s="307"/>
      <c r="AE58" s="307"/>
      <c r="AP58" s="666"/>
    </row>
    <row r="59" spans="1:42" ht="90.75">
      <c r="A59" s="369"/>
      <c r="B59" s="232">
        <v>18</v>
      </c>
      <c r="C59" s="376" t="s">
        <v>1223</v>
      </c>
      <c r="D59" s="451" t="s">
        <v>1035</v>
      </c>
      <c r="E59" s="452" t="s">
        <v>682</v>
      </c>
      <c r="F59" s="584"/>
      <c r="G59" s="740"/>
      <c r="H59" s="708">
        <v>100000</v>
      </c>
      <c r="I59" s="370">
        <v>80000</v>
      </c>
      <c r="J59" s="370">
        <v>0</v>
      </c>
      <c r="K59" s="370">
        <v>170000</v>
      </c>
      <c r="L59" s="370">
        <v>0</v>
      </c>
      <c r="M59" s="494">
        <f t="shared" si="8"/>
        <v>350000</v>
      </c>
      <c r="N59" s="433"/>
      <c r="O59" s="433"/>
      <c r="P59" s="433"/>
      <c r="Q59" s="433"/>
      <c r="R59" s="433"/>
      <c r="S59" s="322">
        <f t="shared" si="9"/>
        <v>0</v>
      </c>
      <c r="T59" s="372"/>
      <c r="U59" s="372"/>
      <c r="V59" s="372"/>
      <c r="W59" s="372"/>
      <c r="X59" s="372"/>
      <c r="Y59" s="372"/>
      <c r="Z59" s="322">
        <v>100000</v>
      </c>
      <c r="AA59" s="322">
        <v>79999.98</v>
      </c>
      <c r="AB59" s="322">
        <v>0</v>
      </c>
      <c r="AC59" s="322">
        <v>170000</v>
      </c>
      <c r="AD59" s="322">
        <v>0</v>
      </c>
      <c r="AE59" s="322">
        <f>SUM(Z59:AD59)</f>
        <v>349999.98</v>
      </c>
      <c r="AP59" s="666" t="s">
        <v>1406</v>
      </c>
    </row>
    <row r="60" spans="1:42" ht="16.5" thickBot="1">
      <c r="B60" s="21"/>
      <c r="C60" s="21"/>
      <c r="D60" s="249" t="s">
        <v>6</v>
      </c>
      <c r="E60" s="22"/>
      <c r="F60" s="448"/>
      <c r="G60" s="792"/>
      <c r="H60" s="23">
        <f t="shared" ref="H60:M60" si="15">SUM(H30:H59)</f>
        <v>11161927.030000003</v>
      </c>
      <c r="I60" s="23">
        <f t="shared" si="15"/>
        <v>6484330.6599999992</v>
      </c>
      <c r="J60" s="23">
        <f t="shared" si="15"/>
        <v>11020000</v>
      </c>
      <c r="K60" s="23">
        <f t="shared" si="15"/>
        <v>270000</v>
      </c>
      <c r="L60" s="23">
        <f t="shared" si="15"/>
        <v>0</v>
      </c>
      <c r="M60" s="23">
        <f t="shared" si="15"/>
        <v>28936257.690000005</v>
      </c>
      <c r="N60" s="23">
        <f t="shared" ref="N60:AE60" si="16">SUM(N30:N58)</f>
        <v>7590922.3200000003</v>
      </c>
      <c r="O60" s="23">
        <f t="shared" si="16"/>
        <v>5949635.79</v>
      </c>
      <c r="P60" s="23">
        <f t="shared" si="16"/>
        <v>0</v>
      </c>
      <c r="Q60" s="23">
        <f t="shared" si="16"/>
        <v>0</v>
      </c>
      <c r="R60" s="23">
        <f t="shared" si="16"/>
        <v>0</v>
      </c>
      <c r="S60" s="23">
        <f t="shared" si="16"/>
        <v>13540558.109999999</v>
      </c>
      <c r="T60" s="23">
        <f t="shared" si="16"/>
        <v>3282734.6599999992</v>
      </c>
      <c r="U60" s="23">
        <f t="shared" si="16"/>
        <v>422720.50999999978</v>
      </c>
      <c r="V60" s="23">
        <f t="shared" si="16"/>
        <v>0</v>
      </c>
      <c r="W60" s="23">
        <f t="shared" si="16"/>
        <v>0</v>
      </c>
      <c r="X60" s="23">
        <f t="shared" si="16"/>
        <v>0</v>
      </c>
      <c r="Y60" s="23">
        <f t="shared" si="16"/>
        <v>0</v>
      </c>
      <c r="Z60" s="23">
        <f t="shared" si="16"/>
        <v>10712403.130000001</v>
      </c>
      <c r="AA60" s="23">
        <f t="shared" si="16"/>
        <v>6177654.1899999995</v>
      </c>
      <c r="AB60" s="23">
        <f t="shared" si="16"/>
        <v>0</v>
      </c>
      <c r="AC60" s="23">
        <f t="shared" si="16"/>
        <v>98502.39</v>
      </c>
      <c r="AD60" s="23">
        <f t="shared" si="16"/>
        <v>0</v>
      </c>
      <c r="AE60" s="23">
        <f t="shared" si="16"/>
        <v>16988559.710000001</v>
      </c>
      <c r="AP60" s="666"/>
    </row>
    <row r="61" spans="1:42" ht="15.75">
      <c r="B61" s="24"/>
      <c r="C61" s="227"/>
      <c r="D61" s="250"/>
      <c r="E61" s="33"/>
      <c r="F61" s="606"/>
      <c r="G61" s="592"/>
      <c r="H61" s="34"/>
      <c r="I61" s="34"/>
      <c r="J61" s="34"/>
      <c r="K61" s="34"/>
      <c r="L61" s="34"/>
      <c r="M61" s="35"/>
      <c r="N61" s="230"/>
      <c r="O61" s="230"/>
      <c r="P61" s="230"/>
      <c r="Q61" s="230"/>
      <c r="R61" s="230"/>
      <c r="S61" s="230"/>
      <c r="T61" s="231"/>
      <c r="U61" s="231"/>
      <c r="V61" s="231"/>
      <c r="W61" s="231"/>
      <c r="X61" s="231"/>
      <c r="Y61" s="231"/>
      <c r="Z61" s="231"/>
      <c r="AA61" s="231"/>
      <c r="AB61" s="231"/>
      <c r="AC61" s="231"/>
      <c r="AD61" s="231"/>
      <c r="AE61" s="231"/>
      <c r="AF61" s="712"/>
      <c r="AP61" s="666"/>
    </row>
    <row r="62" spans="1:42" ht="15.75">
      <c r="B62" s="24"/>
      <c r="C62" s="227"/>
      <c r="D62" s="250"/>
      <c r="E62" s="33"/>
      <c r="F62" s="711"/>
      <c r="G62" s="592"/>
      <c r="H62" s="34"/>
      <c r="I62" s="34"/>
      <c r="J62" s="34"/>
      <c r="K62" s="34"/>
      <c r="L62" s="34"/>
      <c r="M62" s="35"/>
      <c r="N62" s="230"/>
      <c r="O62" s="230"/>
      <c r="P62" s="230"/>
      <c r="Q62" s="230"/>
      <c r="R62" s="230"/>
      <c r="S62" s="230"/>
      <c r="T62" s="231"/>
      <c r="U62" s="231"/>
      <c r="V62" s="231"/>
      <c r="W62" s="231"/>
      <c r="X62" s="231"/>
      <c r="Y62" s="231"/>
      <c r="Z62" s="231"/>
      <c r="AA62" s="231"/>
      <c r="AB62" s="231"/>
      <c r="AC62" s="231"/>
      <c r="AD62" s="231"/>
      <c r="AE62" s="231"/>
      <c r="AF62" s="182"/>
      <c r="AP62" s="666"/>
    </row>
    <row r="63" spans="1:42" ht="37.5">
      <c r="B63" s="96"/>
      <c r="C63" s="271"/>
      <c r="D63" s="102" t="s">
        <v>12</v>
      </c>
      <c r="E63" s="97"/>
      <c r="F63" s="272"/>
      <c r="G63" s="272"/>
      <c r="H63" s="107">
        <f t="shared" ref="H63:M63" si="17">SUM(H64:H66)</f>
        <v>0</v>
      </c>
      <c r="I63" s="107">
        <f t="shared" si="17"/>
        <v>866188.11</v>
      </c>
      <c r="J63" s="107">
        <f t="shared" si="17"/>
        <v>0</v>
      </c>
      <c r="K63" s="107">
        <f t="shared" si="17"/>
        <v>4599726</v>
      </c>
      <c r="L63" s="107">
        <f t="shared" si="17"/>
        <v>0</v>
      </c>
      <c r="M63" s="107">
        <f t="shared" si="17"/>
        <v>5465914.1099999994</v>
      </c>
      <c r="N63" s="306"/>
      <c r="O63" s="306"/>
      <c r="P63" s="306"/>
      <c r="Q63" s="306"/>
      <c r="R63" s="306"/>
      <c r="S63" s="306"/>
      <c r="T63" s="307"/>
      <c r="U63" s="307"/>
      <c r="V63" s="307"/>
      <c r="W63" s="307"/>
      <c r="X63" s="307"/>
      <c r="Y63" s="307"/>
      <c r="Z63" s="307"/>
      <c r="AA63" s="307"/>
      <c r="AB63" s="307"/>
      <c r="AC63" s="307"/>
      <c r="AD63" s="307"/>
      <c r="AE63" s="307"/>
      <c r="AP63" s="666"/>
    </row>
    <row r="64" spans="1:42" ht="18.75">
      <c r="B64" s="76">
        <v>1</v>
      </c>
      <c r="C64" s="247"/>
      <c r="D64" s="71" t="s">
        <v>100</v>
      </c>
      <c r="E64" s="77"/>
      <c r="F64" s="270"/>
      <c r="G64" s="533"/>
      <c r="H64" s="480">
        <v>0</v>
      </c>
      <c r="I64" s="155">
        <f>283004.93-136924.87-146080.06</f>
        <v>0</v>
      </c>
      <c r="J64" s="480">
        <v>0</v>
      </c>
      <c r="K64" s="72">
        <f>4599726-394144-1000000</f>
        <v>3205582</v>
      </c>
      <c r="L64" s="480">
        <v>0</v>
      </c>
      <c r="M64" s="73">
        <f>SUM(H64:L64)</f>
        <v>3205582</v>
      </c>
      <c r="N64" s="306"/>
      <c r="O64" s="306"/>
      <c r="P64" s="306"/>
      <c r="Q64" s="306"/>
      <c r="R64" s="306"/>
      <c r="S64" s="306"/>
      <c r="T64" s="307"/>
      <c r="U64" s="307"/>
      <c r="V64" s="307"/>
      <c r="W64" s="307"/>
      <c r="X64" s="307"/>
      <c r="Y64" s="307"/>
      <c r="Z64" s="307"/>
      <c r="AA64" s="307"/>
      <c r="AB64" s="307"/>
      <c r="AC64" s="307"/>
      <c r="AD64" s="307"/>
      <c r="AE64" s="307"/>
      <c r="AP64" s="666"/>
    </row>
    <row r="65" spans="1:42" ht="93.75">
      <c r="A65" t="s">
        <v>845</v>
      </c>
      <c r="B65" s="232">
        <v>1.1000000000000001</v>
      </c>
      <c r="C65" s="178" t="s">
        <v>1096</v>
      </c>
      <c r="D65" s="74" t="s">
        <v>1060</v>
      </c>
      <c r="E65" s="655" t="s">
        <v>1401</v>
      </c>
      <c r="F65" s="270" t="s">
        <v>29</v>
      </c>
      <c r="G65" s="820" t="s">
        <v>1488</v>
      </c>
      <c r="H65" s="265">
        <v>0</v>
      </c>
      <c r="I65" s="370">
        <f>262763+136924.87-136924.87+3425.11</f>
        <v>266188.11</v>
      </c>
      <c r="J65" s="265">
        <v>0</v>
      </c>
      <c r="K65" s="370">
        <v>394144</v>
      </c>
      <c r="L65" s="265">
        <v>0</v>
      </c>
      <c r="M65" s="73">
        <f t="shared" ref="M65:M66" si="18">SUM(H65:L65)</f>
        <v>660332.11</v>
      </c>
      <c r="N65" s="322"/>
      <c r="O65" s="322">
        <v>262763</v>
      </c>
      <c r="P65" s="322"/>
      <c r="Q65" s="322">
        <v>0</v>
      </c>
      <c r="R65" s="322"/>
      <c r="S65" s="322">
        <f>SUM(N65:R65)</f>
        <v>262763</v>
      </c>
      <c r="T65" s="307"/>
      <c r="U65" s="821">
        <f>+I65-O65</f>
        <v>3425.109999999986</v>
      </c>
      <c r="V65" s="322"/>
      <c r="W65" s="322">
        <f>+K65-Q65</f>
        <v>394144</v>
      </c>
      <c r="X65" s="307"/>
      <c r="Y65" s="307"/>
      <c r="Z65" s="322">
        <v>0</v>
      </c>
      <c r="AA65" s="322">
        <v>365745.91</v>
      </c>
      <c r="AB65" s="322">
        <v>0</v>
      </c>
      <c r="AC65" s="322">
        <v>394144</v>
      </c>
      <c r="AD65" s="322">
        <v>0</v>
      </c>
      <c r="AE65" s="322">
        <f>SUM(Z65:AD65)</f>
        <v>759889.90999999992</v>
      </c>
      <c r="AF65" s="804">
        <f>399687.87-262763</f>
        <v>136924.87</v>
      </c>
      <c r="AG65" s="440">
        <f>399687.87-193076.62</f>
        <v>206611.25</v>
      </c>
      <c r="AP65" s="666" t="s">
        <v>1404</v>
      </c>
    </row>
    <row r="66" spans="1:42" ht="75">
      <c r="A66" t="s">
        <v>845</v>
      </c>
      <c r="B66" s="232">
        <v>1.2</v>
      </c>
      <c r="C66" s="376" t="s">
        <v>1095</v>
      </c>
      <c r="D66" s="74" t="s">
        <v>1061</v>
      </c>
      <c r="E66" s="655" t="s">
        <v>1401</v>
      </c>
      <c r="F66" s="270" t="s">
        <v>29</v>
      </c>
      <c r="G66" s="731"/>
      <c r="H66" s="265">
        <v>0</v>
      </c>
      <c r="I66" s="266">
        <v>600000</v>
      </c>
      <c r="J66" s="265">
        <v>0</v>
      </c>
      <c r="K66" s="370">
        <v>1000000</v>
      </c>
      <c r="L66" s="265">
        <v>0</v>
      </c>
      <c r="M66" s="73">
        <f t="shared" si="18"/>
        <v>1600000</v>
      </c>
      <c r="N66" s="306"/>
      <c r="O66" s="322">
        <v>600000</v>
      </c>
      <c r="P66" s="306"/>
      <c r="Q66" s="322">
        <v>0</v>
      </c>
      <c r="R66" s="306"/>
      <c r="S66" s="322">
        <f>SUM(N66:R66)</f>
        <v>600000</v>
      </c>
      <c r="T66" s="307"/>
      <c r="U66" s="307">
        <f>+I66-O66</f>
        <v>0</v>
      </c>
      <c r="V66" s="307"/>
      <c r="W66" s="322">
        <f>+K66-Q66</f>
        <v>1000000</v>
      </c>
      <c r="X66" s="307"/>
      <c r="Y66" s="307"/>
      <c r="Z66" s="322">
        <v>0</v>
      </c>
      <c r="AA66" s="322">
        <v>480000</v>
      </c>
      <c r="AB66" s="322">
        <v>0</v>
      </c>
      <c r="AC66" s="322">
        <v>720000</v>
      </c>
      <c r="AD66" s="322">
        <v>0</v>
      </c>
      <c r="AE66" s="322">
        <f>SUM(Z66:AD66)</f>
        <v>1200000</v>
      </c>
      <c r="AF66" s="440"/>
      <c r="AG66" s="182">
        <f>O66-AA66</f>
        <v>120000</v>
      </c>
      <c r="AP66" s="666" t="s">
        <v>1406</v>
      </c>
    </row>
    <row r="67" spans="1:42" ht="18.75">
      <c r="B67" s="76"/>
      <c r="C67" s="247"/>
      <c r="D67" s="304"/>
      <c r="E67" s="77"/>
      <c r="F67" s="286"/>
      <c r="G67" s="286"/>
      <c r="H67" s="265"/>
      <c r="I67" s="266"/>
      <c r="J67" s="265"/>
      <c r="K67" s="266"/>
      <c r="L67" s="265"/>
      <c r="M67" s="305"/>
      <c r="N67" s="306"/>
      <c r="O67" s="306"/>
      <c r="P67" s="306"/>
      <c r="Q67" s="306"/>
      <c r="R67" s="306"/>
      <c r="S67" s="306"/>
      <c r="T67" s="307"/>
      <c r="U67" s="307"/>
      <c r="V67" s="307"/>
      <c r="W67" s="307"/>
      <c r="X67" s="307"/>
      <c r="Y67" s="307"/>
      <c r="Z67" s="307"/>
      <c r="AA67" s="307"/>
      <c r="AB67" s="307"/>
      <c r="AC67" s="307"/>
      <c r="AD67" s="307"/>
      <c r="AE67" s="307"/>
      <c r="AP67" s="666"/>
    </row>
    <row r="68" spans="1:42" ht="15.75" thickBot="1">
      <c r="B68" s="21"/>
      <c r="C68" s="21"/>
      <c r="D68" s="249" t="s">
        <v>6</v>
      </c>
      <c r="E68" s="22"/>
      <c r="F68" s="555"/>
      <c r="G68" s="741"/>
      <c r="H68" s="23">
        <f t="shared" ref="H68:AE68" si="19">SUM(H64:H67)</f>
        <v>0</v>
      </c>
      <c r="I68" s="23">
        <f t="shared" si="19"/>
        <v>866188.11</v>
      </c>
      <c r="J68" s="23">
        <f t="shared" si="19"/>
        <v>0</v>
      </c>
      <c r="K68" s="23">
        <f t="shared" si="19"/>
        <v>4599726</v>
      </c>
      <c r="L68" s="23">
        <f t="shared" si="19"/>
        <v>0</v>
      </c>
      <c r="M68" s="23">
        <f t="shared" si="19"/>
        <v>5465914.1099999994</v>
      </c>
      <c r="N68" s="23">
        <f t="shared" si="19"/>
        <v>0</v>
      </c>
      <c r="O68" s="23">
        <f t="shared" si="19"/>
        <v>862763</v>
      </c>
      <c r="P68" s="23">
        <f t="shared" si="19"/>
        <v>0</v>
      </c>
      <c r="Q68" s="23">
        <f t="shared" si="19"/>
        <v>0</v>
      </c>
      <c r="R68" s="23">
        <f t="shared" si="19"/>
        <v>0</v>
      </c>
      <c r="S68" s="23">
        <f t="shared" si="19"/>
        <v>862763</v>
      </c>
      <c r="T68" s="23">
        <f t="shared" si="19"/>
        <v>0</v>
      </c>
      <c r="U68" s="23">
        <f t="shared" si="19"/>
        <v>3425.109999999986</v>
      </c>
      <c r="V68" s="23">
        <f t="shared" si="19"/>
        <v>0</v>
      </c>
      <c r="W68" s="23">
        <f t="shared" si="19"/>
        <v>1394144</v>
      </c>
      <c r="X68" s="23">
        <f t="shared" si="19"/>
        <v>0</v>
      </c>
      <c r="Y68" s="23">
        <f t="shared" si="19"/>
        <v>0</v>
      </c>
      <c r="Z68" s="23">
        <f t="shared" si="19"/>
        <v>0</v>
      </c>
      <c r="AA68" s="23">
        <f t="shared" si="19"/>
        <v>845745.90999999992</v>
      </c>
      <c r="AB68" s="23">
        <f t="shared" si="19"/>
        <v>0</v>
      </c>
      <c r="AC68" s="23">
        <f t="shared" si="19"/>
        <v>1114144</v>
      </c>
      <c r="AD68" s="23">
        <f t="shared" si="19"/>
        <v>0</v>
      </c>
      <c r="AE68" s="23">
        <f t="shared" si="19"/>
        <v>1959889.91</v>
      </c>
      <c r="AP68" s="666"/>
    </row>
    <row r="69" spans="1:42" ht="15.75">
      <c r="B69" s="112"/>
      <c r="C69" s="227"/>
      <c r="D69" s="252"/>
      <c r="E69" s="26"/>
      <c r="F69" s="228"/>
      <c r="G69" s="592"/>
      <c r="H69" s="27"/>
      <c r="I69" s="27"/>
      <c r="J69" s="27"/>
      <c r="K69" s="27"/>
      <c r="L69" s="27"/>
      <c r="M69" s="9"/>
      <c r="N69" s="230"/>
      <c r="O69" s="230"/>
      <c r="P69" s="230"/>
      <c r="Q69" s="230"/>
      <c r="R69" s="230"/>
      <c r="S69" s="230"/>
      <c r="T69" s="231"/>
      <c r="U69" s="231"/>
      <c r="V69" s="231"/>
      <c r="W69" s="231"/>
      <c r="X69" s="231"/>
      <c r="Y69" s="231"/>
      <c r="Z69" s="231"/>
      <c r="AA69" s="231"/>
      <c r="AB69" s="231"/>
      <c r="AC69" s="231"/>
      <c r="AD69" s="231"/>
      <c r="AE69" s="231"/>
      <c r="AP69" s="666"/>
    </row>
    <row r="70" spans="1:42" ht="15.75">
      <c r="B70" s="112"/>
      <c r="C70" s="227"/>
      <c r="D70" s="252"/>
      <c r="E70" s="26"/>
      <c r="F70" s="228"/>
      <c r="G70" s="592"/>
      <c r="H70" s="27"/>
      <c r="I70" s="27"/>
      <c r="J70" s="27"/>
      <c r="K70" s="27"/>
      <c r="L70" s="27"/>
      <c r="M70" s="9"/>
      <c r="N70" s="230"/>
      <c r="O70" s="230"/>
      <c r="P70" s="230"/>
      <c r="Q70" s="230"/>
      <c r="R70" s="230"/>
      <c r="S70" s="230"/>
      <c r="T70" s="231"/>
      <c r="U70" s="231"/>
      <c r="V70" s="231"/>
      <c r="W70" s="231"/>
      <c r="X70" s="231"/>
      <c r="Y70" s="231"/>
      <c r="Z70" s="231"/>
      <c r="AA70" s="231"/>
      <c r="AB70" s="231"/>
      <c r="AC70" s="231"/>
      <c r="AD70" s="231"/>
      <c r="AE70" s="231"/>
      <c r="AP70" s="666"/>
    </row>
    <row r="71" spans="1:42" ht="37.5">
      <c r="B71" s="96"/>
      <c r="C71" s="271"/>
      <c r="D71" s="102" t="s">
        <v>13</v>
      </c>
      <c r="E71" s="99"/>
      <c r="F71" s="272"/>
      <c r="G71" s="272"/>
      <c r="H71" s="107">
        <f>SUM(H72:H74)</f>
        <v>0</v>
      </c>
      <c r="I71" s="107">
        <f t="shared" ref="I71" si="20">SUM(I72:I74)</f>
        <v>89903.88</v>
      </c>
      <c r="J71" s="107">
        <f>SUM(J72:J74)</f>
        <v>4500000</v>
      </c>
      <c r="K71" s="107">
        <f>SUM(K72:K74)</f>
        <v>0</v>
      </c>
      <c r="L71" s="107">
        <f>SUM(L72:L74)</f>
        <v>0</v>
      </c>
      <c r="M71" s="107">
        <f>SUM(H71:L71)</f>
        <v>4589903.88</v>
      </c>
      <c r="N71" s="306"/>
      <c r="O71" s="306"/>
      <c r="P71" s="306"/>
      <c r="Q71" s="306"/>
      <c r="R71" s="306"/>
      <c r="S71" s="306"/>
      <c r="T71" s="307"/>
      <c r="U71" s="307"/>
      <c r="V71" s="307"/>
      <c r="W71" s="307"/>
      <c r="X71" s="307"/>
      <c r="Y71" s="307"/>
      <c r="Z71" s="307"/>
      <c r="AA71" s="307"/>
      <c r="AB71" s="307"/>
      <c r="AC71" s="307"/>
      <c r="AD71" s="307"/>
      <c r="AE71" s="307"/>
      <c r="AP71" s="666"/>
    </row>
    <row r="72" spans="1:42" ht="18.75">
      <c r="B72" s="76">
        <v>1</v>
      </c>
      <c r="C72" s="247" t="s">
        <v>1386</v>
      </c>
      <c r="D72" s="71" t="s">
        <v>14</v>
      </c>
      <c r="E72" s="77"/>
      <c r="F72" s="270"/>
      <c r="G72" s="533"/>
      <c r="H72" s="480">
        <v>0</v>
      </c>
      <c r="I72" s="72">
        <v>0</v>
      </c>
      <c r="J72" s="480">
        <v>2000000</v>
      </c>
      <c r="K72" s="72">
        <v>0</v>
      </c>
      <c r="L72" s="480">
        <v>0</v>
      </c>
      <c r="M72" s="481">
        <f>SUM(J72:L72)</f>
        <v>2000000</v>
      </c>
      <c r="N72" s="306"/>
      <c r="O72" s="306"/>
      <c r="P72" s="306"/>
      <c r="Q72" s="306"/>
      <c r="R72" s="306"/>
      <c r="S72" s="306"/>
      <c r="T72" s="307"/>
      <c r="U72" s="307"/>
      <c r="V72" s="307"/>
      <c r="W72" s="307"/>
      <c r="X72" s="307"/>
      <c r="Y72" s="307"/>
      <c r="Z72" s="480">
        <v>0</v>
      </c>
      <c r="AA72" s="72">
        <v>0</v>
      </c>
      <c r="AB72" s="480">
        <v>1950214.1</v>
      </c>
      <c r="AC72" s="72">
        <v>0</v>
      </c>
      <c r="AD72" s="480">
        <v>0</v>
      </c>
      <c r="AE72" s="481">
        <f>SUM(AB72:AD72)</f>
        <v>1950214.1</v>
      </c>
      <c r="AP72" s="666" t="s">
        <v>1406</v>
      </c>
    </row>
    <row r="73" spans="1:42" ht="37.5">
      <c r="A73" t="s">
        <v>845</v>
      </c>
      <c r="B73" s="70">
        <v>2</v>
      </c>
      <c r="C73" s="178" t="s">
        <v>973</v>
      </c>
      <c r="D73" s="71" t="s">
        <v>969</v>
      </c>
      <c r="E73" s="75"/>
      <c r="F73" s="89"/>
      <c r="G73" s="89"/>
      <c r="H73" s="480">
        <v>0</v>
      </c>
      <c r="I73" s="155">
        <v>89903.88</v>
      </c>
      <c r="J73" s="480">
        <v>2500000</v>
      </c>
      <c r="K73" s="480">
        <v>0</v>
      </c>
      <c r="L73" s="480">
        <v>0</v>
      </c>
      <c r="M73" s="481">
        <f>SUM(H73:L73)</f>
        <v>2589903.88</v>
      </c>
      <c r="N73" s="306"/>
      <c r="O73" s="322"/>
      <c r="P73" s="322">
        <f>349364.52+127886.67</f>
        <v>477251.19</v>
      </c>
      <c r="Q73" s="306"/>
      <c r="R73" s="306"/>
      <c r="S73" s="322">
        <f>SUM(N73:R73)</f>
        <v>477251.19</v>
      </c>
      <c r="T73" s="307"/>
      <c r="U73" s="322">
        <f>+I73-O73</f>
        <v>89903.88</v>
      </c>
      <c r="V73" s="322">
        <f>+J73-P73</f>
        <v>2022748.81</v>
      </c>
      <c r="W73" s="307"/>
      <c r="X73" s="307"/>
      <c r="Y73" s="307"/>
      <c r="Z73" s="322">
        <v>0</v>
      </c>
      <c r="AA73" s="322">
        <v>89903.88</v>
      </c>
      <c r="AB73" s="322">
        <v>2589903.88</v>
      </c>
      <c r="AC73" s="322">
        <v>0</v>
      </c>
      <c r="AD73" s="322">
        <v>0</v>
      </c>
      <c r="AE73" s="322">
        <f>SUM(Z73:AD73)</f>
        <v>2679807.7599999998</v>
      </c>
      <c r="AP73" s="666" t="s">
        <v>1406</v>
      </c>
    </row>
    <row r="74" spans="1:42" ht="18.75">
      <c r="B74" s="76"/>
      <c r="C74" s="247"/>
      <c r="D74" s="304"/>
      <c r="E74" s="77"/>
      <c r="F74" s="270"/>
      <c r="G74" s="731"/>
      <c r="H74" s="265"/>
      <c r="I74" s="266"/>
      <c r="J74" s="265"/>
      <c r="K74" s="265"/>
      <c r="L74" s="265"/>
      <c r="M74" s="481"/>
      <c r="N74" s="306"/>
      <c r="O74" s="306"/>
      <c r="P74" s="306"/>
      <c r="Q74" s="306"/>
      <c r="R74" s="306"/>
      <c r="S74" s="306"/>
      <c r="T74" s="307"/>
      <c r="U74" s="307"/>
      <c r="V74" s="307"/>
      <c r="W74" s="307"/>
      <c r="X74" s="307"/>
      <c r="Y74" s="307"/>
      <c r="Z74" s="307"/>
      <c r="AA74" s="307"/>
      <c r="AB74" s="307"/>
      <c r="AC74" s="307"/>
      <c r="AD74" s="307"/>
      <c r="AE74" s="307"/>
      <c r="AP74" s="666"/>
    </row>
    <row r="75" spans="1:42" ht="16.5" thickBot="1">
      <c r="B75" s="21"/>
      <c r="C75" s="48"/>
      <c r="D75" s="249" t="s">
        <v>6</v>
      </c>
      <c r="E75" s="22"/>
      <c r="F75" s="603"/>
      <c r="G75" s="792"/>
      <c r="H75" s="23">
        <f>SUM(H72:H74)</f>
        <v>0</v>
      </c>
      <c r="I75" s="23">
        <f t="shared" ref="I75:AE75" si="21">SUM(I72:I74)</f>
        <v>89903.88</v>
      </c>
      <c r="J75" s="23">
        <f t="shared" si="21"/>
        <v>4500000</v>
      </c>
      <c r="K75" s="23">
        <f t="shared" si="21"/>
        <v>0</v>
      </c>
      <c r="L75" s="23">
        <f t="shared" si="21"/>
        <v>0</v>
      </c>
      <c r="M75" s="23">
        <f t="shared" si="21"/>
        <v>4589903.88</v>
      </c>
      <c r="N75" s="23">
        <f t="shared" si="21"/>
        <v>0</v>
      </c>
      <c r="O75" s="23">
        <f t="shared" si="21"/>
        <v>0</v>
      </c>
      <c r="P75" s="23">
        <f t="shared" si="21"/>
        <v>477251.19</v>
      </c>
      <c r="Q75" s="23">
        <f t="shared" si="21"/>
        <v>0</v>
      </c>
      <c r="R75" s="23">
        <f t="shared" si="21"/>
        <v>0</v>
      </c>
      <c r="S75" s="23">
        <f t="shared" si="21"/>
        <v>477251.19</v>
      </c>
      <c r="T75" s="23">
        <f t="shared" si="21"/>
        <v>0</v>
      </c>
      <c r="U75" s="23">
        <f t="shared" si="21"/>
        <v>89903.88</v>
      </c>
      <c r="V75" s="23">
        <f t="shared" si="21"/>
        <v>2022748.81</v>
      </c>
      <c r="W75" s="23">
        <f t="shared" si="21"/>
        <v>0</v>
      </c>
      <c r="X75" s="23">
        <f t="shared" si="21"/>
        <v>0</v>
      </c>
      <c r="Y75" s="23">
        <f t="shared" si="21"/>
        <v>0</v>
      </c>
      <c r="Z75" s="23">
        <f t="shared" si="21"/>
        <v>0</v>
      </c>
      <c r="AA75" s="23">
        <f t="shared" si="21"/>
        <v>89903.88</v>
      </c>
      <c r="AB75" s="23">
        <f t="shared" si="21"/>
        <v>4540117.9800000004</v>
      </c>
      <c r="AC75" s="23">
        <f t="shared" si="21"/>
        <v>0</v>
      </c>
      <c r="AD75" s="23">
        <f t="shared" si="21"/>
        <v>0</v>
      </c>
      <c r="AE75" s="23">
        <f t="shared" si="21"/>
        <v>4630021.8599999994</v>
      </c>
      <c r="AP75" s="666"/>
    </row>
    <row r="76" spans="1:42" ht="15.75">
      <c r="B76" s="24"/>
      <c r="C76" s="227"/>
      <c r="D76" s="36"/>
      <c r="E76" s="26"/>
      <c r="F76" s="449"/>
      <c r="G76" s="592"/>
      <c r="H76" s="27"/>
      <c r="I76" s="37"/>
      <c r="J76" s="37"/>
      <c r="K76" s="37"/>
      <c r="L76" s="37"/>
      <c r="M76" s="3"/>
      <c r="N76" s="230"/>
      <c r="O76" s="230"/>
      <c r="P76" s="230"/>
      <c r="Q76" s="230"/>
      <c r="R76" s="230"/>
      <c r="S76" s="230"/>
      <c r="T76" s="231"/>
      <c r="U76" s="231"/>
      <c r="V76" s="231"/>
      <c r="W76" s="231"/>
      <c r="X76" s="231"/>
      <c r="Y76" s="231"/>
      <c r="Z76" s="231"/>
      <c r="AA76" s="231"/>
      <c r="AB76" s="231"/>
      <c r="AC76" s="231"/>
      <c r="AD76" s="231"/>
      <c r="AE76" s="231"/>
      <c r="AP76" s="666"/>
    </row>
    <row r="77" spans="1:42" ht="15.75">
      <c r="B77" s="24"/>
      <c r="C77" s="227"/>
      <c r="D77" s="36"/>
      <c r="E77" s="26"/>
      <c r="F77" s="228"/>
      <c r="G77" s="592"/>
      <c r="H77" s="27"/>
      <c r="I77" s="37"/>
      <c r="J77" s="37"/>
      <c r="K77" s="37"/>
      <c r="L77" s="37"/>
      <c r="M77" s="3"/>
      <c r="N77" s="230"/>
      <c r="O77" s="230"/>
      <c r="P77" s="230"/>
      <c r="Q77" s="230"/>
      <c r="R77" s="230"/>
      <c r="S77" s="230"/>
      <c r="T77" s="231"/>
      <c r="U77" s="231"/>
      <c r="V77" s="231"/>
      <c r="W77" s="231"/>
      <c r="X77" s="231"/>
      <c r="Y77" s="231"/>
      <c r="Z77" s="231"/>
      <c r="AA77" s="231"/>
      <c r="AB77" s="231"/>
      <c r="AC77" s="231"/>
      <c r="AD77" s="231"/>
      <c r="AE77" s="231"/>
      <c r="AP77" s="666"/>
    </row>
    <row r="78" spans="1:42" ht="37.5">
      <c r="B78" s="109"/>
      <c r="C78" s="271"/>
      <c r="D78" s="102" t="s">
        <v>15</v>
      </c>
      <c r="E78" s="110"/>
      <c r="F78" s="272"/>
      <c r="G78" s="272"/>
      <c r="H78" s="107">
        <f>SUM(H79:H100)</f>
        <v>0</v>
      </c>
      <c r="I78" s="107">
        <f>SUM(I79:I101)</f>
        <v>26219017.269999996</v>
      </c>
      <c r="J78" s="107">
        <f t="shared" ref="J78:L78" si="22">SUM(J79:J100)</f>
        <v>61428368</v>
      </c>
      <c r="K78" s="107">
        <f t="shared" si="22"/>
        <v>67000000</v>
      </c>
      <c r="L78" s="107">
        <f t="shared" si="22"/>
        <v>5316298.9800000004</v>
      </c>
      <c r="M78" s="107">
        <f>SUM(H78:L78)</f>
        <v>159963684.24999997</v>
      </c>
      <c r="N78" s="306"/>
      <c r="O78" s="306"/>
      <c r="P78" s="306"/>
      <c r="Q78" s="306"/>
      <c r="R78" s="306"/>
      <c r="S78" s="306"/>
      <c r="T78" s="307"/>
      <c r="U78" s="307"/>
      <c r="V78" s="307"/>
      <c r="W78" s="307"/>
      <c r="X78" s="307"/>
      <c r="Y78" s="307"/>
      <c r="Z78" s="307"/>
      <c r="AA78" s="307"/>
      <c r="AB78" s="307"/>
      <c r="AC78" s="307"/>
      <c r="AD78" s="307"/>
      <c r="AE78" s="307"/>
      <c r="AP78" s="666"/>
    </row>
    <row r="79" spans="1:42" ht="56.25">
      <c r="B79" s="113">
        <v>1</v>
      </c>
      <c r="C79" s="455" t="s">
        <v>1171</v>
      </c>
      <c r="D79" s="540" t="s">
        <v>1127</v>
      </c>
      <c r="E79" s="238"/>
      <c r="F79" s="270"/>
      <c r="G79" s="533"/>
      <c r="H79" s="480">
        <v>0</v>
      </c>
      <c r="I79" s="80">
        <v>1000000</v>
      </c>
      <c r="J79" s="83">
        <v>0</v>
      </c>
      <c r="K79" s="480">
        <v>0</v>
      </c>
      <c r="L79" s="480">
        <v>0</v>
      </c>
      <c r="M79" s="481">
        <f>SUM(H79:L79)</f>
        <v>1000000</v>
      </c>
      <c r="N79" s="306"/>
      <c r="O79" s="322">
        <f>333665.3+346724.53</f>
        <v>680389.83000000007</v>
      </c>
      <c r="P79" s="306"/>
      <c r="Q79" s="306"/>
      <c r="R79" s="306"/>
      <c r="S79" s="322">
        <f>SUM(N79:R79)</f>
        <v>680389.83000000007</v>
      </c>
      <c r="T79" s="307"/>
      <c r="U79" s="661">
        <f>+I79-O79</f>
        <v>319610.16999999993</v>
      </c>
      <c r="V79" s="307"/>
      <c r="W79" s="307"/>
      <c r="X79" s="307"/>
      <c r="Y79" s="307"/>
      <c r="Z79" s="322">
        <v>0</v>
      </c>
      <c r="AA79" s="322">
        <v>999999.98</v>
      </c>
      <c r="AB79" s="322">
        <v>0</v>
      </c>
      <c r="AC79" s="322">
        <v>0</v>
      </c>
      <c r="AD79" s="322">
        <v>0</v>
      </c>
      <c r="AE79" s="322">
        <f>SUM(Z79:AD79)</f>
        <v>999999.98</v>
      </c>
      <c r="AP79" s="666" t="s">
        <v>1406</v>
      </c>
    </row>
    <row r="80" spans="1:42" ht="37.5">
      <c r="B80" s="70">
        <v>2</v>
      </c>
      <c r="C80" s="247"/>
      <c r="D80" s="81" t="s">
        <v>73</v>
      </c>
      <c r="E80" s="81"/>
      <c r="F80" s="270"/>
      <c r="G80" s="533"/>
      <c r="H80" s="480">
        <v>0</v>
      </c>
      <c r="I80" s="480">
        <v>0</v>
      </c>
      <c r="J80" s="480">
        <v>0</v>
      </c>
      <c r="K80" s="480">
        <v>0</v>
      </c>
      <c r="L80" s="72">
        <v>2000000</v>
      </c>
      <c r="M80" s="481">
        <f t="shared" ref="M80:M95" si="23">SUM(H80:L80)</f>
        <v>2000000</v>
      </c>
      <c r="N80" s="306"/>
      <c r="O80" s="306"/>
      <c r="P80" s="306"/>
      <c r="Q80" s="306"/>
      <c r="R80" s="306"/>
      <c r="S80" s="306"/>
      <c r="T80" s="307"/>
      <c r="U80" s="307"/>
      <c r="V80" s="307"/>
      <c r="W80" s="307"/>
      <c r="X80" s="307"/>
      <c r="Y80" s="307"/>
      <c r="Z80" s="307"/>
      <c r="AA80" s="307"/>
      <c r="AB80" s="307"/>
      <c r="AC80" s="307"/>
      <c r="AD80" s="307"/>
      <c r="AE80" s="307"/>
      <c r="AP80" s="666"/>
    </row>
    <row r="81" spans="1:42" ht="79.5" customHeight="1">
      <c r="A81" t="s">
        <v>845</v>
      </c>
      <c r="B81" s="70">
        <v>3</v>
      </c>
      <c r="C81" s="247" t="s">
        <v>1117</v>
      </c>
      <c r="D81" s="453" t="s">
        <v>900</v>
      </c>
      <c r="E81" s="454" t="s">
        <v>901</v>
      </c>
      <c r="F81" s="247"/>
      <c r="G81" s="791" t="s">
        <v>1489</v>
      </c>
      <c r="H81" s="480">
        <v>0</v>
      </c>
      <c r="I81" s="480">
        <f>0+194454.95-2983.22</f>
        <v>191471.73</v>
      </c>
      <c r="J81" s="480">
        <v>0</v>
      </c>
      <c r="K81" s="480">
        <v>0</v>
      </c>
      <c r="L81" s="370">
        <v>3316298.98</v>
      </c>
      <c r="M81" s="481">
        <f t="shared" si="23"/>
        <v>3507770.71</v>
      </c>
      <c r="N81" s="306"/>
      <c r="O81" s="306"/>
      <c r="P81" s="306"/>
      <c r="Q81" s="306"/>
      <c r="R81" s="306"/>
      <c r="S81" s="306"/>
      <c r="T81" s="307"/>
      <c r="U81" s="307"/>
      <c r="V81" s="307"/>
      <c r="W81" s="307"/>
      <c r="X81" s="307"/>
      <c r="Y81" s="307"/>
      <c r="Z81" s="480">
        <v>0</v>
      </c>
      <c r="AA81" s="480">
        <v>191471.73</v>
      </c>
      <c r="AB81" s="480">
        <f>191471.73-5504.17</f>
        <v>185967.56</v>
      </c>
      <c r="AC81" s="480">
        <v>0</v>
      </c>
      <c r="AD81" s="370">
        <v>3316298.98</v>
      </c>
      <c r="AE81" s="481">
        <f t="shared" ref="AE81" si="24">SUM(Z81:AD81)</f>
        <v>3693738.27</v>
      </c>
      <c r="AF81" s="804">
        <f>194454.95-191471.73</f>
        <v>2983.2200000000012</v>
      </c>
      <c r="AH81" s="1018" t="s">
        <v>1390</v>
      </c>
      <c r="AI81" s="1019"/>
      <c r="AP81" s="666" t="s">
        <v>1404</v>
      </c>
    </row>
    <row r="82" spans="1:42" ht="56.25">
      <c r="A82" t="s">
        <v>845</v>
      </c>
      <c r="B82" s="76">
        <v>4</v>
      </c>
      <c r="C82" s="178" t="s">
        <v>1045</v>
      </c>
      <c r="D82" s="332" t="s">
        <v>16</v>
      </c>
      <c r="E82" s="332" t="s">
        <v>695</v>
      </c>
      <c r="F82" s="247"/>
      <c r="G82" s="742"/>
      <c r="H82" s="265">
        <v>0</v>
      </c>
      <c r="I82" s="370">
        <f>1800000+103233.91</f>
        <v>1903233.91</v>
      </c>
      <c r="J82" s="267">
        <v>0</v>
      </c>
      <c r="K82" s="265">
        <v>0</v>
      </c>
      <c r="L82" s="265">
        <v>0</v>
      </c>
      <c r="M82" s="481">
        <f t="shared" si="23"/>
        <v>1903233.91</v>
      </c>
      <c r="N82" s="306"/>
      <c r="O82" s="306"/>
      <c r="P82" s="306"/>
      <c r="Q82" s="306"/>
      <c r="R82" s="306"/>
      <c r="S82" s="306"/>
      <c r="T82" s="307"/>
      <c r="U82" s="307"/>
      <c r="V82" s="307"/>
      <c r="W82" s="307"/>
      <c r="X82" s="307"/>
      <c r="Y82" s="307"/>
      <c r="Z82" s="322">
        <v>0</v>
      </c>
      <c r="AA82" s="322">
        <v>1903233.91</v>
      </c>
      <c r="AB82" s="322">
        <v>0</v>
      </c>
      <c r="AC82" s="322">
        <v>0</v>
      </c>
      <c r="AD82" s="322">
        <v>0</v>
      </c>
      <c r="AE82" s="322">
        <v>1903233.91</v>
      </c>
      <c r="AP82" s="666" t="s">
        <v>1406</v>
      </c>
    </row>
    <row r="83" spans="1:42" ht="37.5">
      <c r="B83" s="84">
        <v>5</v>
      </c>
      <c r="C83" s="247"/>
      <c r="D83" s="333" t="s">
        <v>17</v>
      </c>
      <c r="E83" s="333"/>
      <c r="F83" s="270"/>
      <c r="G83" s="533"/>
      <c r="H83" s="334">
        <v>0</v>
      </c>
      <c r="I83" s="598">
        <f>8000000-1628368-207.01-3959275.63-61223.52-417351.68-250000-320000-168541.65-1195032.51</f>
        <v>0</v>
      </c>
      <c r="J83" s="495">
        <f>2000000+1628368-1000000</f>
        <v>2628368</v>
      </c>
      <c r="K83" s="334">
        <v>0</v>
      </c>
      <c r="L83" s="334">
        <v>0</v>
      </c>
      <c r="M83" s="331">
        <f t="shared" si="23"/>
        <v>2628368</v>
      </c>
      <c r="N83" s="306"/>
      <c r="O83" s="306"/>
      <c r="P83" s="306"/>
      <c r="Q83" s="306"/>
      <c r="R83" s="306"/>
      <c r="S83" s="306"/>
      <c r="T83" s="307"/>
      <c r="U83" s="307"/>
      <c r="V83" s="307"/>
      <c r="W83" s="307"/>
      <c r="X83" s="307"/>
      <c r="Y83" s="307"/>
      <c r="Z83" s="307"/>
      <c r="AA83" s="307"/>
      <c r="AB83" s="307"/>
      <c r="AC83" s="307"/>
      <c r="AD83" s="307"/>
      <c r="AE83" s="307"/>
      <c r="AP83" s="666"/>
    </row>
    <row r="84" spans="1:42" ht="37.5">
      <c r="B84" s="429">
        <v>5.0999999999999996</v>
      </c>
      <c r="C84" s="455" t="s">
        <v>902</v>
      </c>
      <c r="D84" s="108" t="s">
        <v>857</v>
      </c>
      <c r="E84" s="108"/>
      <c r="F84" s="270"/>
      <c r="G84" s="533"/>
      <c r="H84" s="334">
        <v>0</v>
      </c>
      <c r="I84" s="430">
        <v>207.01</v>
      </c>
      <c r="J84" s="339">
        <v>0</v>
      </c>
      <c r="K84" s="334">
        <v>0</v>
      </c>
      <c r="L84" s="334">
        <v>0</v>
      </c>
      <c r="M84" s="331">
        <f t="shared" si="23"/>
        <v>207.01</v>
      </c>
      <c r="N84" s="306"/>
      <c r="O84" s="306"/>
      <c r="P84" s="306"/>
      <c r="Q84" s="306"/>
      <c r="R84" s="306"/>
      <c r="S84" s="306"/>
      <c r="T84" s="307"/>
      <c r="U84" s="307"/>
      <c r="V84" s="307"/>
      <c r="W84" s="307"/>
      <c r="X84" s="307"/>
      <c r="Y84" s="307"/>
      <c r="Z84" s="322">
        <v>0</v>
      </c>
      <c r="AA84" s="322">
        <v>207.01</v>
      </c>
      <c r="AB84" s="322">
        <f>1788589.37-207.01</f>
        <v>1788382.36</v>
      </c>
      <c r="AC84" s="322">
        <v>0</v>
      </c>
      <c r="AD84" s="322">
        <v>0</v>
      </c>
      <c r="AE84" s="322">
        <f t="shared" ref="AE84:AE89" si="25">SUM(Z84:AD84)</f>
        <v>1788589.37</v>
      </c>
      <c r="AF84" s="509" t="s">
        <v>858</v>
      </c>
      <c r="AP84" s="666" t="s">
        <v>1407</v>
      </c>
    </row>
    <row r="85" spans="1:42" ht="84.75" customHeight="1">
      <c r="A85" t="s">
        <v>845</v>
      </c>
      <c r="B85" s="429">
        <v>5.2</v>
      </c>
      <c r="C85" s="292" t="s">
        <v>958</v>
      </c>
      <c r="D85" s="108" t="s">
        <v>894</v>
      </c>
      <c r="E85" s="108"/>
      <c r="F85" s="270"/>
      <c r="G85" s="791" t="s">
        <v>1490</v>
      </c>
      <c r="H85" s="441">
        <v>0</v>
      </c>
      <c r="I85" s="456">
        <f>3959275.63-161122.06</f>
        <v>3798153.57</v>
      </c>
      <c r="J85" s="339">
        <v>0</v>
      </c>
      <c r="K85" s="334">
        <v>0</v>
      </c>
      <c r="L85" s="334">
        <v>0</v>
      </c>
      <c r="M85" s="331">
        <f t="shared" si="23"/>
        <v>3798153.57</v>
      </c>
      <c r="N85" s="306"/>
      <c r="O85" s="322">
        <f>310915.11+0+39883.41</f>
        <v>350798.52</v>
      </c>
      <c r="P85" s="306"/>
      <c r="Q85" s="306"/>
      <c r="R85" s="306"/>
      <c r="S85" s="322">
        <f>SUM(N85:R85)</f>
        <v>350798.52</v>
      </c>
      <c r="T85" s="307"/>
      <c r="U85" s="322">
        <f>+I85-O85</f>
        <v>3447355.05</v>
      </c>
      <c r="V85" s="307"/>
      <c r="W85" s="307"/>
      <c r="X85" s="307"/>
      <c r="Y85" s="322">
        <f>SUM(T85:X85)</f>
        <v>3447355.05</v>
      </c>
      <c r="Z85" s="322">
        <v>0</v>
      </c>
      <c r="AA85" s="322">
        <v>3798153.57</v>
      </c>
      <c r="AB85" s="322">
        <v>0</v>
      </c>
      <c r="AC85" s="322">
        <v>0</v>
      </c>
      <c r="AD85" s="322">
        <v>0</v>
      </c>
      <c r="AE85" s="322">
        <f t="shared" si="25"/>
        <v>3798153.57</v>
      </c>
      <c r="AF85" s="804">
        <v>161122.06</v>
      </c>
      <c r="AG85" s="182"/>
      <c r="AP85" s="666" t="s">
        <v>1404</v>
      </c>
    </row>
    <row r="86" spans="1:42" ht="90" customHeight="1">
      <c r="A86" s="509" t="s">
        <v>1037</v>
      </c>
      <c r="B86" s="496">
        <v>5.3</v>
      </c>
      <c r="C86" s="455" t="s">
        <v>869</v>
      </c>
      <c r="D86" s="163" t="s">
        <v>983</v>
      </c>
      <c r="E86" s="498" t="s">
        <v>986</v>
      </c>
      <c r="F86" s="270"/>
      <c r="G86" s="791" t="s">
        <v>1491</v>
      </c>
      <c r="H86" s="441">
        <v>0</v>
      </c>
      <c r="I86" s="456">
        <f>250000+176624.21-43522.46</f>
        <v>383101.74999999994</v>
      </c>
      <c r="J86" s="339">
        <v>0</v>
      </c>
      <c r="K86" s="334">
        <v>0</v>
      </c>
      <c r="L86" s="334">
        <v>0</v>
      </c>
      <c r="M86" s="331">
        <f t="shared" si="23"/>
        <v>383101.74999999994</v>
      </c>
      <c r="N86" s="306"/>
      <c r="O86" s="306"/>
      <c r="P86" s="306"/>
      <c r="Q86" s="306"/>
      <c r="R86" s="306"/>
      <c r="S86" s="322">
        <f t="shared" ref="S86:S91" si="26">SUM(N86:R86)</f>
        <v>0</v>
      </c>
      <c r="T86" s="307"/>
      <c r="U86" s="307"/>
      <c r="V86" s="307"/>
      <c r="W86" s="307"/>
      <c r="X86" s="307"/>
      <c r="Y86" s="322">
        <f t="shared" ref="Y86:Y99" si="27">SUM(T86:X86)</f>
        <v>0</v>
      </c>
      <c r="Z86" s="322">
        <v>0</v>
      </c>
      <c r="AA86" s="322">
        <f>426624.21-43522.46</f>
        <v>383101.75</v>
      </c>
      <c r="AB86" s="322">
        <v>0</v>
      </c>
      <c r="AC86" s="322">
        <v>0</v>
      </c>
      <c r="AD86" s="322">
        <f>1786934.5+216922.58</f>
        <v>2003857.08</v>
      </c>
      <c r="AE86" s="322">
        <f t="shared" si="25"/>
        <v>2386958.83</v>
      </c>
      <c r="AF86" s="804">
        <v>43522.46</v>
      </c>
      <c r="AP86" s="666" t="s">
        <v>1407</v>
      </c>
    </row>
    <row r="87" spans="1:42" ht="45">
      <c r="A87" s="509" t="s">
        <v>1038</v>
      </c>
      <c r="B87" s="496">
        <v>5.4</v>
      </c>
      <c r="C87" s="455" t="s">
        <v>563</v>
      </c>
      <c r="D87" s="163" t="s">
        <v>984</v>
      </c>
      <c r="E87" s="498" t="s">
        <v>987</v>
      </c>
      <c r="F87" s="270"/>
      <c r="G87" s="738"/>
      <c r="H87" s="441">
        <v>0</v>
      </c>
      <c r="I87" s="456">
        <f>320000-14901.67</f>
        <v>305098.33</v>
      </c>
      <c r="J87" s="339">
        <v>0</v>
      </c>
      <c r="K87" s="334">
        <v>0</v>
      </c>
      <c r="L87" s="334">
        <v>0</v>
      </c>
      <c r="M87" s="331">
        <f t="shared" si="23"/>
        <v>305098.33</v>
      </c>
      <c r="N87" s="306"/>
      <c r="O87" s="322">
        <v>305098.33</v>
      </c>
      <c r="P87" s="306"/>
      <c r="Q87" s="306"/>
      <c r="R87" s="306"/>
      <c r="S87" s="322">
        <f t="shared" si="26"/>
        <v>305098.33</v>
      </c>
      <c r="T87" s="307"/>
      <c r="U87" s="604">
        <f>+I87-O87</f>
        <v>0</v>
      </c>
      <c r="V87" s="307"/>
      <c r="W87" s="307"/>
      <c r="X87" s="307"/>
      <c r="Y87" s="322">
        <f t="shared" si="27"/>
        <v>0</v>
      </c>
      <c r="Z87" s="322">
        <v>0</v>
      </c>
      <c r="AA87" s="322">
        <v>305098.33</v>
      </c>
      <c r="AB87" s="322">
        <v>2379622.3199999998</v>
      </c>
      <c r="AC87" s="322">
        <v>2379622.31</v>
      </c>
      <c r="AD87" s="322">
        <v>0</v>
      </c>
      <c r="AE87" s="322">
        <f t="shared" si="25"/>
        <v>5064342.96</v>
      </c>
      <c r="AP87" s="666"/>
    </row>
    <row r="88" spans="1:42" ht="30">
      <c r="A88" s="509" t="s">
        <v>1039</v>
      </c>
      <c r="B88" s="497">
        <v>5.5</v>
      </c>
      <c r="C88" s="455" t="s">
        <v>570</v>
      </c>
      <c r="D88" s="163" t="s">
        <v>985</v>
      </c>
      <c r="E88" s="499" t="s">
        <v>988</v>
      </c>
      <c r="F88" s="270"/>
      <c r="G88" s="738"/>
      <c r="H88" s="441">
        <v>0</v>
      </c>
      <c r="I88" s="456">
        <v>168541.65</v>
      </c>
      <c r="J88" s="339">
        <v>0</v>
      </c>
      <c r="K88" s="334">
        <v>0</v>
      </c>
      <c r="L88" s="334">
        <v>0</v>
      </c>
      <c r="M88" s="331">
        <f t="shared" si="23"/>
        <v>168541.65</v>
      </c>
      <c r="N88" s="306"/>
      <c r="O88" s="322">
        <v>168541.65</v>
      </c>
      <c r="P88" s="306"/>
      <c r="Q88" s="306"/>
      <c r="R88" s="306"/>
      <c r="S88" s="322">
        <f t="shared" si="26"/>
        <v>168541.65</v>
      </c>
      <c r="T88" s="307"/>
      <c r="U88" s="535">
        <f>+I88-O88</f>
        <v>0</v>
      </c>
      <c r="V88" s="307"/>
      <c r="W88" s="307"/>
      <c r="X88" s="307"/>
      <c r="Y88" s="322">
        <f t="shared" si="27"/>
        <v>0</v>
      </c>
      <c r="Z88" s="322">
        <v>0</v>
      </c>
      <c r="AA88" s="322">
        <v>168541.65</v>
      </c>
      <c r="AB88" s="322">
        <v>1221051.67</v>
      </c>
      <c r="AC88" s="322">
        <v>1221051.6599999999</v>
      </c>
      <c r="AD88" s="322">
        <v>0</v>
      </c>
      <c r="AE88" s="322">
        <f t="shared" si="25"/>
        <v>2610644.9799999995</v>
      </c>
      <c r="AP88" s="666"/>
    </row>
    <row r="89" spans="1:42" ht="83.25" customHeight="1">
      <c r="A89" s="509"/>
      <c r="B89" s="496">
        <v>5.6</v>
      </c>
      <c r="C89" s="455" t="s">
        <v>1380</v>
      </c>
      <c r="D89" s="599" t="s">
        <v>1172</v>
      </c>
      <c r="E89" s="498"/>
      <c r="F89" s="270"/>
      <c r="G89" s="791" t="s">
        <v>1492</v>
      </c>
      <c r="H89" s="441">
        <v>0</v>
      </c>
      <c r="I89" s="456">
        <f>1195032.51-107.97</f>
        <v>1194924.54</v>
      </c>
      <c r="J89" s="339">
        <v>0</v>
      </c>
      <c r="K89" s="441">
        <v>0</v>
      </c>
      <c r="L89" s="441">
        <v>0</v>
      </c>
      <c r="M89" s="331">
        <f t="shared" si="23"/>
        <v>1194924.54</v>
      </c>
      <c r="N89" s="306"/>
      <c r="O89" s="306"/>
      <c r="P89" s="306"/>
      <c r="Q89" s="306"/>
      <c r="R89" s="306"/>
      <c r="S89" s="322">
        <f t="shared" si="26"/>
        <v>0</v>
      </c>
      <c r="T89" s="307"/>
      <c r="U89" s="307"/>
      <c r="V89" s="307"/>
      <c r="W89" s="307"/>
      <c r="X89" s="307"/>
      <c r="Y89" s="322">
        <f t="shared" si="27"/>
        <v>0</v>
      </c>
      <c r="Z89" s="322">
        <v>0</v>
      </c>
      <c r="AA89" s="322">
        <v>1194924.54</v>
      </c>
      <c r="AB89" s="322">
        <v>0</v>
      </c>
      <c r="AC89" s="322">
        <v>0</v>
      </c>
      <c r="AD89" s="322">
        <v>0</v>
      </c>
      <c r="AE89" s="322">
        <f t="shared" si="25"/>
        <v>1194924.54</v>
      </c>
      <c r="AF89" s="804">
        <v>107.96999999997206</v>
      </c>
      <c r="AP89" s="666" t="s">
        <v>1404</v>
      </c>
    </row>
    <row r="90" spans="1:42" ht="37.5">
      <c r="B90" s="113">
        <v>6</v>
      </c>
      <c r="C90" s="247"/>
      <c r="D90" s="238" t="s">
        <v>696</v>
      </c>
      <c r="E90" s="238" t="s">
        <v>697</v>
      </c>
      <c r="F90" s="270"/>
      <c r="G90" s="738"/>
      <c r="H90" s="335">
        <v>0</v>
      </c>
      <c r="I90" s="335">
        <v>0</v>
      </c>
      <c r="J90" s="80">
        <v>25000000</v>
      </c>
      <c r="K90" s="83">
        <v>25000000</v>
      </c>
      <c r="L90" s="335">
        <v>0</v>
      </c>
      <c r="M90" s="481">
        <f t="shared" si="23"/>
        <v>50000000</v>
      </c>
      <c r="N90" s="306"/>
      <c r="O90" s="306"/>
      <c r="P90" s="306"/>
      <c r="Q90" s="306"/>
      <c r="R90" s="306"/>
      <c r="S90" s="322">
        <f t="shared" si="26"/>
        <v>0</v>
      </c>
      <c r="T90" s="307"/>
      <c r="U90" s="307"/>
      <c r="V90" s="307"/>
      <c r="W90" s="307"/>
      <c r="X90" s="307"/>
      <c r="Y90" s="322">
        <f t="shared" si="27"/>
        <v>0</v>
      </c>
      <c r="Z90" s="307"/>
      <c r="AA90" s="307"/>
      <c r="AB90" s="307"/>
      <c r="AC90" s="307"/>
      <c r="AD90" s="307"/>
      <c r="AE90" s="307"/>
      <c r="AP90" s="666"/>
    </row>
    <row r="91" spans="1:42" ht="56.25">
      <c r="B91" s="70">
        <v>7</v>
      </c>
      <c r="C91" s="247"/>
      <c r="D91" s="81" t="s">
        <v>698</v>
      </c>
      <c r="E91" s="81" t="s">
        <v>697</v>
      </c>
      <c r="F91" s="270"/>
      <c r="G91" s="533"/>
      <c r="H91" s="480">
        <v>0</v>
      </c>
      <c r="I91" s="480">
        <v>10500000</v>
      </c>
      <c r="J91" s="80">
        <v>24500000</v>
      </c>
      <c r="K91" s="72">
        <v>30000000</v>
      </c>
      <c r="L91" s="480">
        <v>0</v>
      </c>
      <c r="M91" s="481">
        <f t="shared" si="23"/>
        <v>65000000</v>
      </c>
      <c r="N91" s="306"/>
      <c r="O91" s="322">
        <v>10500000</v>
      </c>
      <c r="P91" s="306"/>
      <c r="Q91" s="306"/>
      <c r="R91" s="306"/>
      <c r="S91" s="322">
        <f t="shared" si="26"/>
        <v>10500000</v>
      </c>
      <c r="T91" s="307"/>
      <c r="U91" s="322">
        <f>+I91-O91</f>
        <v>0</v>
      </c>
      <c r="V91" s="307"/>
      <c r="W91" s="307"/>
      <c r="X91" s="307"/>
      <c r="Y91" s="322">
        <f t="shared" si="27"/>
        <v>0</v>
      </c>
      <c r="Z91" s="307"/>
      <c r="AA91" s="307"/>
      <c r="AB91" s="307"/>
      <c r="AC91" s="307"/>
      <c r="AD91" s="307"/>
      <c r="AE91" s="307"/>
      <c r="AP91" s="666"/>
    </row>
    <row r="92" spans="1:42" ht="18.75">
      <c r="B92" s="84">
        <v>8</v>
      </c>
      <c r="C92" s="247" t="s">
        <v>820</v>
      </c>
      <c r="D92" s="333" t="s">
        <v>775</v>
      </c>
      <c r="E92" s="551">
        <v>7500000</v>
      </c>
      <c r="F92" s="431"/>
      <c r="G92" s="736"/>
      <c r="H92" s="334">
        <v>0</v>
      </c>
      <c r="I92" s="334">
        <v>0</v>
      </c>
      <c r="J92" s="334">
        <v>0</v>
      </c>
      <c r="K92" s="334">
        <f>0+7500000+3500000</f>
        <v>11000000</v>
      </c>
      <c r="L92" s="334">
        <v>0</v>
      </c>
      <c r="M92" s="481">
        <f t="shared" si="23"/>
        <v>11000000</v>
      </c>
      <c r="N92" s="306"/>
      <c r="O92" s="306"/>
      <c r="P92" s="306"/>
      <c r="Q92" s="322">
        <f>122812.05+1959100.56+192169.75+793103.86+119184.37+611737.92+1258314.78</f>
        <v>5056423.29</v>
      </c>
      <c r="R92" s="484"/>
      <c r="S92" s="322">
        <f>SUM(N92:R92)</f>
        <v>5056423.29</v>
      </c>
      <c r="T92" s="307"/>
      <c r="U92" s="307"/>
      <c r="V92" s="307"/>
      <c r="W92" s="322">
        <f>+K92-Q92</f>
        <v>5943576.71</v>
      </c>
      <c r="X92" s="307"/>
      <c r="Y92" s="322">
        <f t="shared" si="27"/>
        <v>5943576.71</v>
      </c>
      <c r="Z92" s="420">
        <f>1873728.2-1873728.2</f>
        <v>0</v>
      </c>
      <c r="AA92" s="420">
        <f>1873728.2-1873728.2</f>
        <v>0</v>
      </c>
      <c r="AB92" s="420">
        <f>12616920.59+1873728.2</f>
        <v>14490648.789999999</v>
      </c>
      <c r="AC92" s="420">
        <f>7500000+3500000</f>
        <v>11000000</v>
      </c>
      <c r="AD92" s="420">
        <v>0</v>
      </c>
      <c r="AE92" s="420">
        <f>SUM(AA92+AB92+AC92)</f>
        <v>25490648.789999999</v>
      </c>
      <c r="AP92" s="666" t="s">
        <v>1404</v>
      </c>
    </row>
    <row r="93" spans="1:42" ht="56.25">
      <c r="B93" s="336">
        <v>9</v>
      </c>
      <c r="C93" s="247" t="s">
        <v>1157</v>
      </c>
      <c r="D93" s="333" t="s">
        <v>1048</v>
      </c>
      <c r="E93" s="333" t="s">
        <v>694</v>
      </c>
      <c r="F93"/>
      <c r="G93" s="138"/>
      <c r="H93" s="334">
        <v>0</v>
      </c>
      <c r="I93" s="334">
        <v>0</v>
      </c>
      <c r="J93" s="334">
        <f>0+1000000</f>
        <v>1000000</v>
      </c>
      <c r="K93" s="334">
        <v>0</v>
      </c>
      <c r="L93" s="334">
        <v>0</v>
      </c>
      <c r="M93" s="494">
        <f t="shared" si="23"/>
        <v>1000000</v>
      </c>
      <c r="N93" s="371"/>
      <c r="O93" s="371"/>
      <c r="P93" s="371"/>
      <c r="Q93" s="371"/>
      <c r="R93" s="371"/>
      <c r="S93" s="371"/>
      <c r="T93" s="372"/>
      <c r="U93" s="372"/>
      <c r="V93" s="372"/>
      <c r="W93" s="372"/>
      <c r="X93" s="372"/>
      <c r="Y93" s="322">
        <f t="shared" si="27"/>
        <v>0</v>
      </c>
      <c r="Z93" s="334">
        <v>0</v>
      </c>
      <c r="AA93" s="334">
        <v>0</v>
      </c>
      <c r="AB93" s="334">
        <v>971587.39</v>
      </c>
      <c r="AC93" s="334">
        <v>0</v>
      </c>
      <c r="AD93" s="334">
        <v>0</v>
      </c>
      <c r="AE93" s="494">
        <f t="shared" ref="AE93" si="28">SUM(Z93:AD93)</f>
        <v>971587.39</v>
      </c>
      <c r="AF93" s="182"/>
      <c r="AP93" s="666" t="s">
        <v>1406</v>
      </c>
    </row>
    <row r="94" spans="1:42" ht="75">
      <c r="A94" t="s">
        <v>845</v>
      </c>
      <c r="B94" s="336">
        <v>10</v>
      </c>
      <c r="C94" s="675" t="s">
        <v>1113</v>
      </c>
      <c r="D94" s="676" t="s">
        <v>1101</v>
      </c>
      <c r="E94" s="676" t="s">
        <v>777</v>
      </c>
      <c r="F94" s="736"/>
      <c r="G94" s="791" t="s">
        <v>1493</v>
      </c>
      <c r="H94" s="334">
        <v>0</v>
      </c>
      <c r="I94" s="334">
        <f>3000000-2755152.83-244847.17</f>
        <v>0</v>
      </c>
      <c r="J94" s="334">
        <v>0</v>
      </c>
      <c r="K94" s="334">
        <v>0</v>
      </c>
      <c r="L94" s="334">
        <v>0</v>
      </c>
      <c r="M94" s="494">
        <f t="shared" si="23"/>
        <v>0</v>
      </c>
      <c r="N94" s="371"/>
      <c r="O94" s="371"/>
      <c r="P94" s="371"/>
      <c r="Q94" s="371"/>
      <c r="R94" s="371"/>
      <c r="S94" s="371"/>
      <c r="T94" s="372"/>
      <c r="U94" s="372"/>
      <c r="V94" s="372"/>
      <c r="W94" s="372"/>
      <c r="X94" s="372"/>
      <c r="Y94" s="322">
        <f t="shared" si="27"/>
        <v>0</v>
      </c>
      <c r="Z94" s="322">
        <v>0</v>
      </c>
      <c r="AA94" s="322">
        <v>2755152.83</v>
      </c>
      <c r="AB94" s="322">
        <v>0</v>
      </c>
      <c r="AC94" s="322">
        <v>0</v>
      </c>
      <c r="AD94" s="322">
        <v>0</v>
      </c>
      <c r="AE94" s="322">
        <f>SUM(Z94:AD94)</f>
        <v>2755152.83</v>
      </c>
      <c r="AF94" s="804">
        <v>244847.17</v>
      </c>
      <c r="AP94" s="666" t="s">
        <v>1404</v>
      </c>
    </row>
    <row r="95" spans="1:42" ht="56.25">
      <c r="B95" s="336">
        <v>11</v>
      </c>
      <c r="C95" s="247"/>
      <c r="D95" s="333" t="s">
        <v>778</v>
      </c>
      <c r="E95" s="333"/>
      <c r="F95" s="270"/>
      <c r="G95" s="533"/>
      <c r="H95" s="334">
        <v>0</v>
      </c>
      <c r="I95" s="334">
        <v>0</v>
      </c>
      <c r="J95" s="334">
        <f>0+1000000</f>
        <v>1000000</v>
      </c>
      <c r="K95" s="334">
        <v>0</v>
      </c>
      <c r="L95" s="334">
        <v>0</v>
      </c>
      <c r="M95" s="481">
        <f t="shared" si="23"/>
        <v>1000000</v>
      </c>
      <c r="N95" s="371"/>
      <c r="O95" s="371"/>
      <c r="P95" s="371"/>
      <c r="Q95" s="371"/>
      <c r="R95" s="371"/>
      <c r="S95" s="371"/>
      <c r="T95" s="372"/>
      <c r="U95" s="372"/>
      <c r="V95" s="372"/>
      <c r="W95" s="372"/>
      <c r="X95" s="372"/>
      <c r="Y95" s="322">
        <f t="shared" si="27"/>
        <v>0</v>
      </c>
      <c r="Z95" s="372"/>
      <c r="AA95" s="372"/>
      <c r="AB95" s="372"/>
      <c r="AC95" s="372"/>
      <c r="AD95" s="372"/>
      <c r="AE95" s="372"/>
      <c r="AP95" s="666"/>
    </row>
    <row r="96" spans="1:42" ht="47.25">
      <c r="B96" s="115">
        <v>12</v>
      </c>
      <c r="C96" s="455" t="s">
        <v>1212</v>
      </c>
      <c r="D96" s="333" t="s">
        <v>779</v>
      </c>
      <c r="E96" s="94" t="s">
        <v>780</v>
      </c>
      <c r="F96" s="680" t="s">
        <v>1445</v>
      </c>
      <c r="G96" s="736"/>
      <c r="H96" s="480">
        <v>0</v>
      </c>
      <c r="I96" s="494">
        <v>45522.7</v>
      </c>
      <c r="J96" s="480">
        <v>300000</v>
      </c>
      <c r="K96" s="480">
        <v>0</v>
      </c>
      <c r="L96" s="334">
        <v>0</v>
      </c>
      <c r="M96" s="494">
        <f>SUM(H96:L96)</f>
        <v>345522.7</v>
      </c>
      <c r="N96" s="371"/>
      <c r="O96" s="689">
        <f>45522.7-6279</f>
        <v>39243.699999999997</v>
      </c>
      <c r="P96" s="466">
        <v>4360.22</v>
      </c>
      <c r="Q96" s="371"/>
      <c r="R96" s="371"/>
      <c r="S96" s="466">
        <f>SUM(N96:R96)</f>
        <v>43603.92</v>
      </c>
      <c r="T96" s="372"/>
      <c r="U96" s="466">
        <f>+I96-O96</f>
        <v>6279</v>
      </c>
      <c r="V96" s="466">
        <f>+J96-P96</f>
        <v>295639.78000000003</v>
      </c>
      <c r="W96" s="372"/>
      <c r="X96" s="372"/>
      <c r="Y96" s="322">
        <f t="shared" si="27"/>
        <v>301918.78000000003</v>
      </c>
      <c r="Z96" s="322">
        <v>0</v>
      </c>
      <c r="AA96" s="494">
        <v>45522.7</v>
      </c>
      <c r="AB96" s="322">
        <v>254474.67</v>
      </c>
      <c r="AC96" s="322">
        <v>0</v>
      </c>
      <c r="AD96" s="322">
        <v>0</v>
      </c>
      <c r="AE96" s="322">
        <f>SUM(Z96:AD96)</f>
        <v>299997.37</v>
      </c>
      <c r="AG96" s="182"/>
      <c r="AP96" s="666" t="s">
        <v>1406</v>
      </c>
    </row>
    <row r="97" spans="2:44" ht="18.75">
      <c r="B97" s="76">
        <v>13</v>
      </c>
      <c r="C97" s="247"/>
      <c r="D97" s="457" t="s">
        <v>903</v>
      </c>
      <c r="E97" s="324"/>
      <c r="F97" s="448"/>
      <c r="G97" s="731"/>
      <c r="H97" s="265">
        <v>0</v>
      </c>
      <c r="I97" s="265">
        <v>0</v>
      </c>
      <c r="J97" s="265">
        <v>4000000</v>
      </c>
      <c r="K97" s="265">
        <v>0</v>
      </c>
      <c r="L97" s="265">
        <v>0</v>
      </c>
      <c r="M97" s="265">
        <f>SUM(H97:L97)</f>
        <v>4000000</v>
      </c>
      <c r="N97" s="371"/>
      <c r="O97" s="371"/>
      <c r="P97" s="371"/>
      <c r="Q97" s="371"/>
      <c r="R97" s="371"/>
      <c r="S97" s="371"/>
      <c r="T97" s="372"/>
      <c r="U97" s="372"/>
      <c r="V97" s="372"/>
      <c r="W97" s="372"/>
      <c r="X97" s="372"/>
      <c r="Y97" s="322">
        <f t="shared" si="27"/>
        <v>0</v>
      </c>
      <c r="Z97" s="372"/>
      <c r="AA97" s="372"/>
      <c r="AB97" s="372"/>
      <c r="AC97" s="372"/>
      <c r="AD97" s="372"/>
      <c r="AE97" s="372"/>
      <c r="AP97" s="666"/>
    </row>
    <row r="98" spans="2:44" ht="36">
      <c r="B98" s="76">
        <v>14</v>
      </c>
      <c r="C98" s="247" t="s">
        <v>1213</v>
      </c>
      <c r="D98" s="515" t="s">
        <v>1062</v>
      </c>
      <c r="E98" s="607"/>
      <c r="F98" s="666"/>
      <c r="G98" s="743"/>
      <c r="H98" s="265">
        <v>0</v>
      </c>
      <c r="I98" s="265">
        <v>0</v>
      </c>
      <c r="J98" s="481">
        <v>3000000</v>
      </c>
      <c r="K98" s="481">
        <v>1000000</v>
      </c>
      <c r="L98" s="265">
        <v>0</v>
      </c>
      <c r="M98" s="265">
        <f>SUM(H98:L98)</f>
        <v>4000000</v>
      </c>
      <c r="N98" s="371"/>
      <c r="O98" s="466"/>
      <c r="P98" s="466"/>
      <c r="Q98" s="466"/>
      <c r="R98" s="371"/>
      <c r="S98" s="371"/>
      <c r="T98" s="372"/>
      <c r="U98" s="372"/>
      <c r="V98" s="372"/>
      <c r="W98" s="372"/>
      <c r="X98" s="372"/>
      <c r="Y98" s="322">
        <f t="shared" si="27"/>
        <v>0</v>
      </c>
      <c r="Z98" s="666"/>
      <c r="AA98" s="613">
        <f>3983604.04*0.5</f>
        <v>1991802.02</v>
      </c>
      <c r="AB98" s="322">
        <f>3983604.04*0.25</f>
        <v>995901.01</v>
      </c>
      <c r="AC98" s="322">
        <f>3983604.04*0.25</f>
        <v>995901.01</v>
      </c>
      <c r="AD98" s="322"/>
      <c r="AE98" s="322">
        <f>SUM(AB98:AD98)</f>
        <v>1991802.02</v>
      </c>
      <c r="AF98" s="182"/>
      <c r="AG98" s="182"/>
      <c r="AH98" s="182"/>
      <c r="AI98" s="182">
        <v>2000000</v>
      </c>
      <c r="AJ98" s="182">
        <f>SUM(AF98:AI98)</f>
        <v>2000000</v>
      </c>
      <c r="AK98" s="182"/>
      <c r="AL98" s="182"/>
      <c r="AM98" s="182"/>
      <c r="AN98" s="182"/>
      <c r="AO98" s="182"/>
      <c r="AP98" s="662" t="s">
        <v>1406</v>
      </c>
      <c r="AQ98" s="612">
        <f>AG98/AJ98</f>
        <v>0</v>
      </c>
      <c r="AR98" s="612">
        <f>AI98/AJ98</f>
        <v>1</v>
      </c>
    </row>
    <row r="99" spans="2:44" ht="46.9" customHeight="1">
      <c r="B99" s="76">
        <v>15</v>
      </c>
      <c r="C99" s="600" t="s">
        <v>1214</v>
      </c>
      <c r="D99" s="515" t="s">
        <v>1173</v>
      </c>
      <c r="E99" s="608" t="s">
        <v>1174</v>
      </c>
      <c r="F99" s="666"/>
      <c r="G99" s="743"/>
      <c r="H99" s="265">
        <v>0</v>
      </c>
      <c r="I99" s="265">
        <v>98851.06</v>
      </c>
      <c r="J99" s="481">
        <v>0</v>
      </c>
      <c r="K99" s="481">
        <v>0</v>
      </c>
      <c r="L99" s="265">
        <v>0</v>
      </c>
      <c r="M99" s="265">
        <f>SUM(H99:L99)</f>
        <v>98851.06</v>
      </c>
      <c r="N99" s="371"/>
      <c r="O99" s="466"/>
      <c r="P99" s="466"/>
      <c r="Q99" s="466"/>
      <c r="R99" s="371"/>
      <c r="S99" s="371"/>
      <c r="T99" s="372"/>
      <c r="U99" s="372"/>
      <c r="V99" s="372"/>
      <c r="W99" s="372"/>
      <c r="X99" s="372"/>
      <c r="Y99" s="322">
        <f t="shared" si="27"/>
        <v>0</v>
      </c>
      <c r="Z99" s="372"/>
      <c r="AA99" s="372"/>
      <c r="AB99" s="372"/>
      <c r="AC99" s="372"/>
      <c r="AD99" s="372"/>
      <c r="AE99" s="372"/>
      <c r="AP99" s="666" t="s">
        <v>1406</v>
      </c>
    </row>
    <row r="100" spans="2:44" ht="36">
      <c r="B100" s="76">
        <v>16</v>
      </c>
      <c r="C100" s="600" t="s">
        <v>1215</v>
      </c>
      <c r="D100" s="515" t="s">
        <v>1175</v>
      </c>
      <c r="E100" s="608" t="s">
        <v>1174</v>
      </c>
      <c r="F100" s="666"/>
      <c r="G100" s="743"/>
      <c r="H100" s="265">
        <v>0</v>
      </c>
      <c r="I100" s="265">
        <v>54118.49</v>
      </c>
      <c r="J100" s="481">
        <v>0</v>
      </c>
      <c r="K100" s="481">
        <v>0</v>
      </c>
      <c r="L100" s="265">
        <v>0</v>
      </c>
      <c r="M100" s="265">
        <f>SUM(H100:L100)</f>
        <v>54118.49</v>
      </c>
      <c r="N100" s="371"/>
      <c r="O100" s="466"/>
      <c r="P100" s="466"/>
      <c r="Q100" s="466"/>
      <c r="R100" s="371"/>
      <c r="S100" s="371"/>
      <c r="T100" s="372"/>
      <c r="U100" s="372"/>
      <c r="V100" s="372"/>
      <c r="W100" s="372"/>
      <c r="X100" s="372"/>
      <c r="Y100" s="372"/>
      <c r="Z100" s="372"/>
      <c r="AA100" s="372"/>
      <c r="AB100" s="372"/>
      <c r="AC100" s="372"/>
      <c r="AD100" s="372"/>
      <c r="AE100" s="372"/>
      <c r="AP100" s="666" t="s">
        <v>1404</v>
      </c>
    </row>
    <row r="101" spans="2:44" ht="36">
      <c r="B101" s="76"/>
      <c r="C101" s="673" t="s">
        <v>368</v>
      </c>
      <c r="D101" s="674" t="s">
        <v>369</v>
      </c>
      <c r="E101" s="677" t="s">
        <v>1447</v>
      </c>
      <c r="F101" s="666"/>
      <c r="G101" s="666"/>
      <c r="H101" s="265"/>
      <c r="I101" s="265">
        <v>6575792.5300000003</v>
      </c>
      <c r="J101" s="481"/>
      <c r="K101" s="481"/>
      <c r="L101" s="265"/>
      <c r="M101" s="265"/>
      <c r="N101" s="371"/>
      <c r="O101" s="466">
        <v>6575792.5300000003</v>
      </c>
      <c r="P101" s="466"/>
      <c r="Q101" s="466"/>
      <c r="R101" s="371"/>
      <c r="S101" s="466">
        <f>+O101</f>
        <v>6575792.5300000003</v>
      </c>
      <c r="T101" s="372"/>
      <c r="U101" s="466">
        <f>+I101-O101</f>
        <v>0</v>
      </c>
      <c r="V101" s="372"/>
      <c r="W101" s="372"/>
      <c r="X101" s="372"/>
      <c r="Y101" s="372"/>
      <c r="Z101" s="372"/>
      <c r="AA101" s="372"/>
      <c r="AB101" s="372"/>
      <c r="AC101" s="372"/>
      <c r="AD101" s="372"/>
      <c r="AE101" s="372"/>
      <c r="AP101" s="666"/>
    </row>
    <row r="102" spans="2:44" ht="15.75" thickBot="1">
      <c r="B102" s="21"/>
      <c r="C102" s="22"/>
      <c r="D102" s="249" t="s">
        <v>6</v>
      </c>
      <c r="E102" s="22"/>
      <c r="F102" s="609"/>
      <c r="G102" s="609"/>
      <c r="H102" s="23">
        <f>SUM(H79:H100)</f>
        <v>0</v>
      </c>
      <c r="I102" s="23">
        <f>SUM(I79:I101)</f>
        <v>26219017.269999996</v>
      </c>
      <c r="J102" s="23">
        <f t="shared" ref="J102:M102" si="29">SUM(J79:J100)</f>
        <v>61428368</v>
      </c>
      <c r="K102" s="23">
        <f t="shared" si="29"/>
        <v>67000000</v>
      </c>
      <c r="L102" s="23">
        <f t="shared" si="29"/>
        <v>5316298.9800000004</v>
      </c>
      <c r="M102" s="23">
        <f t="shared" si="29"/>
        <v>153387891.72</v>
      </c>
      <c r="N102" s="23">
        <f>SUM(N79:N101)</f>
        <v>0</v>
      </c>
      <c r="O102" s="23">
        <f t="shared" ref="O102:R102" si="30">SUM(O79:O101)</f>
        <v>18619864.559999999</v>
      </c>
      <c r="P102" s="23">
        <f t="shared" si="30"/>
        <v>4360.22</v>
      </c>
      <c r="Q102" s="23">
        <f t="shared" si="30"/>
        <v>5056423.29</v>
      </c>
      <c r="R102" s="23">
        <f t="shared" si="30"/>
        <v>0</v>
      </c>
      <c r="S102" s="23">
        <f>SUM(S79:S101)</f>
        <v>23680648.070000004</v>
      </c>
      <c r="T102" s="23">
        <f t="shared" ref="T102:AE102" si="31">SUM(T79:T92)</f>
        <v>0</v>
      </c>
      <c r="U102" s="23">
        <f t="shared" si="31"/>
        <v>3766965.2199999997</v>
      </c>
      <c r="V102" s="23">
        <f t="shared" si="31"/>
        <v>0</v>
      </c>
      <c r="W102" s="23">
        <f t="shared" si="31"/>
        <v>5943576.71</v>
      </c>
      <c r="X102" s="23">
        <f t="shared" si="31"/>
        <v>0</v>
      </c>
      <c r="Y102" s="23">
        <f t="shared" si="31"/>
        <v>9390931.7599999998</v>
      </c>
      <c r="Z102" s="23">
        <f t="shared" si="31"/>
        <v>0</v>
      </c>
      <c r="AA102" s="23">
        <f t="shared" si="31"/>
        <v>8944732.4699999988</v>
      </c>
      <c r="AB102" s="23">
        <f t="shared" si="31"/>
        <v>20065672.699999999</v>
      </c>
      <c r="AC102" s="23">
        <f t="shared" si="31"/>
        <v>14600673.969999999</v>
      </c>
      <c r="AD102" s="23">
        <f t="shared" si="31"/>
        <v>5320156.0600000005</v>
      </c>
      <c r="AE102" s="23">
        <f t="shared" si="31"/>
        <v>48931235.200000003</v>
      </c>
      <c r="AP102" s="666"/>
    </row>
    <row r="103" spans="2:44" ht="15.75">
      <c r="B103" s="19"/>
      <c r="C103" s="227"/>
      <c r="D103" s="29"/>
      <c r="E103" s="29"/>
      <c r="F103" s="228"/>
      <c r="G103" s="592"/>
      <c r="H103" s="39"/>
      <c r="I103" s="39"/>
      <c r="J103" s="39"/>
      <c r="K103" s="39"/>
      <c r="L103" s="39"/>
      <c r="M103" s="40"/>
      <c r="N103" s="230"/>
      <c r="O103" s="230"/>
      <c r="P103" s="230"/>
      <c r="Q103" s="230"/>
      <c r="R103" s="230"/>
      <c r="S103" s="230"/>
      <c r="T103" s="231"/>
      <c r="U103" s="231"/>
      <c r="V103" s="231"/>
      <c r="W103" s="231"/>
      <c r="X103" s="231"/>
      <c r="Y103" s="231"/>
      <c r="Z103" s="231"/>
      <c r="AA103" s="231"/>
      <c r="AB103" s="231"/>
      <c r="AC103" s="231"/>
      <c r="AD103" s="231"/>
      <c r="AE103" s="231"/>
      <c r="AP103" s="666"/>
    </row>
    <row r="104" spans="2:44" ht="15.75">
      <c r="B104" s="19"/>
      <c r="C104" s="227"/>
      <c r="D104" s="29"/>
      <c r="E104" s="29"/>
      <c r="F104" s="228"/>
      <c r="G104" s="592"/>
      <c r="H104" s="39"/>
      <c r="I104" s="39"/>
      <c r="J104" s="39"/>
      <c r="K104" s="39"/>
      <c r="L104" s="39"/>
      <c r="M104" s="40"/>
      <c r="N104" s="230"/>
      <c r="O104" s="230"/>
      <c r="P104" s="230"/>
      <c r="Q104" s="230"/>
      <c r="R104" s="230"/>
      <c r="S104" s="230"/>
      <c r="T104" s="231"/>
      <c r="U104" s="231"/>
      <c r="V104" s="231"/>
      <c r="W104" s="231"/>
      <c r="X104" s="231"/>
      <c r="Y104" s="231"/>
      <c r="Z104" s="231"/>
      <c r="AA104" s="231"/>
      <c r="AB104" s="231"/>
      <c r="AC104" s="231"/>
      <c r="AD104" s="231"/>
      <c r="AE104" s="231"/>
      <c r="AP104" s="666"/>
    </row>
    <row r="105" spans="2:44" ht="18.75">
      <c r="B105" s="100"/>
      <c r="C105" s="271"/>
      <c r="D105" s="102" t="s">
        <v>18</v>
      </c>
      <c r="E105" s="99"/>
      <c r="F105" s="272"/>
      <c r="G105" s="272"/>
      <c r="H105" s="107">
        <f>SUM(H106:H112)</f>
        <v>0</v>
      </c>
      <c r="I105" s="107">
        <f t="shared" ref="I105:L105" si="32">SUM(I106:I112)</f>
        <v>2443919.3199999998</v>
      </c>
      <c r="J105" s="107">
        <f t="shared" si="32"/>
        <v>80000</v>
      </c>
      <c r="K105" s="107">
        <f t="shared" si="32"/>
        <v>0</v>
      </c>
      <c r="L105" s="107">
        <f t="shared" si="32"/>
        <v>0</v>
      </c>
      <c r="M105" s="107">
        <f>SUM(H105:L105)</f>
        <v>2523919.3199999998</v>
      </c>
      <c r="N105" s="306"/>
      <c r="O105" s="306"/>
      <c r="P105" s="306"/>
      <c r="Q105" s="306"/>
      <c r="R105" s="306"/>
      <c r="S105" s="306"/>
      <c r="T105" s="307"/>
      <c r="U105" s="307"/>
      <c r="V105" s="307"/>
      <c r="W105" s="307"/>
      <c r="X105" s="307"/>
      <c r="Y105" s="307"/>
      <c r="Z105" s="307"/>
      <c r="AA105" s="307"/>
      <c r="AB105" s="307"/>
      <c r="AC105" s="307"/>
      <c r="AD105" s="307"/>
      <c r="AE105" s="307"/>
      <c r="AP105" s="666"/>
    </row>
    <row r="106" spans="2:44" ht="73.5" customHeight="1">
      <c r="B106" s="84">
        <v>1</v>
      </c>
      <c r="C106" s="247" t="s">
        <v>1359</v>
      </c>
      <c r="D106" s="85" t="s">
        <v>19</v>
      </c>
      <c r="E106" s="85" t="s">
        <v>694</v>
      </c>
      <c r="F106" s="270" t="s">
        <v>1481</v>
      </c>
      <c r="G106" s="791" t="s">
        <v>1494</v>
      </c>
      <c r="H106" s="480">
        <v>0</v>
      </c>
      <c r="I106" s="82">
        <f>1000000+59165.71</f>
        <v>1059165.71</v>
      </c>
      <c r="J106" s="480">
        <v>0</v>
      </c>
      <c r="K106" s="480">
        <v>0</v>
      </c>
      <c r="L106" s="480">
        <v>0</v>
      </c>
      <c r="M106" s="481">
        <f>SUM(H106:L106)</f>
        <v>1059165.71</v>
      </c>
      <c r="N106" s="306"/>
      <c r="O106" s="306"/>
      <c r="P106" s="306"/>
      <c r="Q106" s="306"/>
      <c r="R106" s="306"/>
      <c r="S106" s="306"/>
      <c r="T106" s="307"/>
      <c r="U106" s="307"/>
      <c r="V106" s="307"/>
      <c r="W106" s="307"/>
      <c r="X106" s="307"/>
      <c r="Y106" s="307"/>
      <c r="Z106" s="420">
        <v>0</v>
      </c>
      <c r="AA106" s="420">
        <v>1000000</v>
      </c>
      <c r="AB106" s="420">
        <f>439019.61+59165.71</f>
        <v>498185.32</v>
      </c>
      <c r="AC106" s="420">
        <v>0</v>
      </c>
      <c r="AD106" s="420">
        <v>0</v>
      </c>
      <c r="AE106" s="420">
        <f>SUM(Z106:AD106)</f>
        <v>1498185.32</v>
      </c>
      <c r="AF106" s="813">
        <v>59165.71</v>
      </c>
      <c r="AP106" s="666" t="s">
        <v>1406</v>
      </c>
    </row>
    <row r="107" spans="2:44" ht="18.75">
      <c r="B107" s="84">
        <v>2</v>
      </c>
      <c r="C107" s="247"/>
      <c r="D107" s="239" t="s">
        <v>20</v>
      </c>
      <c r="E107" s="79"/>
      <c r="F107" s="270"/>
      <c r="G107" s="533"/>
      <c r="H107" s="78"/>
      <c r="I107" s="82"/>
      <c r="J107" s="78"/>
      <c r="K107" s="78"/>
      <c r="L107" s="78"/>
      <c r="M107" s="481">
        <f>SUM(J107:L107)</f>
        <v>0</v>
      </c>
      <c r="N107" s="306"/>
      <c r="O107" s="306"/>
      <c r="P107" s="306"/>
      <c r="Q107" s="306"/>
      <c r="R107" s="306"/>
      <c r="S107" s="306"/>
      <c r="T107" s="307"/>
      <c r="U107" s="307"/>
      <c r="V107" s="307"/>
      <c r="W107" s="307"/>
      <c r="X107" s="307"/>
      <c r="Y107" s="307"/>
      <c r="Z107" s="307"/>
      <c r="AA107" s="307"/>
      <c r="AB107" s="307"/>
      <c r="AC107" s="307"/>
      <c r="AD107" s="307"/>
      <c r="AE107" s="307"/>
      <c r="AP107" s="666"/>
    </row>
    <row r="108" spans="2:44" ht="18.75">
      <c r="B108" s="84">
        <v>2.1</v>
      </c>
      <c r="C108" s="247"/>
      <c r="D108" s="493" t="s">
        <v>21</v>
      </c>
      <c r="E108" s="493"/>
      <c r="F108" s="270"/>
      <c r="G108" s="533"/>
      <c r="H108" s="480">
        <v>0</v>
      </c>
      <c r="I108" s="309">
        <f>2849679.22-500000-375000-500000-45522.7-9753.61-103233.91-89903.88-81211.42-529885.52-615168.18</f>
        <v>0</v>
      </c>
      <c r="J108" s="480">
        <v>0</v>
      </c>
      <c r="K108" s="480">
        <v>0</v>
      </c>
      <c r="L108" s="480">
        <v>0</v>
      </c>
      <c r="M108" s="481">
        <f>SUM(H108:L108)</f>
        <v>0</v>
      </c>
      <c r="N108" s="306"/>
      <c r="O108" s="306"/>
      <c r="P108" s="306"/>
      <c r="Q108" s="306"/>
      <c r="R108" s="306"/>
      <c r="S108" s="306"/>
      <c r="T108" s="307"/>
      <c r="U108" s="307"/>
      <c r="V108" s="307"/>
      <c r="W108" s="307"/>
      <c r="X108" s="307"/>
      <c r="Y108" s="307"/>
      <c r="Z108" s="307"/>
      <c r="AA108" s="307"/>
      <c r="AB108" s="307"/>
      <c r="AC108" s="307"/>
      <c r="AD108" s="307"/>
      <c r="AE108" s="307"/>
      <c r="AP108" s="666"/>
    </row>
    <row r="109" spans="2:44" ht="18.75">
      <c r="B109" s="520" t="s">
        <v>1063</v>
      </c>
      <c r="C109" s="247"/>
      <c r="D109" s="493" t="s">
        <v>1064</v>
      </c>
      <c r="E109" s="519" t="s">
        <v>694</v>
      </c>
      <c r="F109" s="270"/>
      <c r="G109" s="533"/>
      <c r="H109" s="480">
        <v>0</v>
      </c>
      <c r="I109" s="521">
        <v>500000</v>
      </c>
      <c r="J109" s="480">
        <v>0</v>
      </c>
      <c r="K109" s="480">
        <v>0</v>
      </c>
      <c r="L109" s="480">
        <v>0</v>
      </c>
      <c r="M109" s="481">
        <f t="shared" ref="M109:M111" si="33">SUM(H109:L109)</f>
        <v>500000</v>
      </c>
      <c r="N109" s="306"/>
      <c r="O109" s="306"/>
      <c r="P109" s="306"/>
      <c r="Q109" s="306"/>
      <c r="R109" s="306"/>
      <c r="S109" s="306"/>
      <c r="T109" s="307"/>
      <c r="U109" s="307"/>
      <c r="V109" s="307"/>
      <c r="W109" s="307"/>
      <c r="X109" s="307"/>
      <c r="Y109" s="307"/>
      <c r="Z109" s="307"/>
      <c r="AA109" s="307"/>
      <c r="AB109" s="307"/>
      <c r="AC109" s="307"/>
      <c r="AD109" s="307"/>
      <c r="AE109" s="307"/>
      <c r="AP109" s="666"/>
    </row>
    <row r="110" spans="2:44" ht="18" customHeight="1">
      <c r="B110" s="520" t="s">
        <v>1065</v>
      </c>
      <c r="C110" s="247"/>
      <c r="D110" s="493" t="s">
        <v>1066</v>
      </c>
      <c r="E110" s="519" t="s">
        <v>88</v>
      </c>
      <c r="F110" s="270"/>
      <c r="G110" s="533"/>
      <c r="H110" s="480">
        <v>0</v>
      </c>
      <c r="I110" s="521">
        <v>375000</v>
      </c>
      <c r="J110" s="480">
        <v>0</v>
      </c>
      <c r="K110" s="480">
        <v>0</v>
      </c>
      <c r="L110" s="480">
        <v>0</v>
      </c>
      <c r="M110" s="481">
        <f t="shared" si="33"/>
        <v>375000</v>
      </c>
      <c r="N110" s="306"/>
      <c r="O110" s="306"/>
      <c r="P110" s="306"/>
      <c r="Q110" s="306"/>
      <c r="R110" s="306"/>
      <c r="S110" s="306"/>
      <c r="T110" s="307"/>
      <c r="U110" s="307"/>
      <c r="V110" s="307"/>
      <c r="W110" s="307"/>
      <c r="X110" s="307"/>
      <c r="Y110" s="307"/>
      <c r="Z110" s="307"/>
      <c r="AA110" s="307"/>
      <c r="AB110" s="307"/>
      <c r="AC110" s="307"/>
      <c r="AD110" s="307"/>
      <c r="AE110" s="307"/>
      <c r="AP110" s="666"/>
    </row>
    <row r="111" spans="2:44" ht="30">
      <c r="B111" s="520" t="s">
        <v>1067</v>
      </c>
      <c r="C111" s="247"/>
      <c r="D111" s="493" t="s">
        <v>1068</v>
      </c>
      <c r="E111" s="519" t="s">
        <v>1069</v>
      </c>
      <c r="F111" s="270"/>
      <c r="G111" s="533"/>
      <c r="H111" s="480">
        <v>0</v>
      </c>
      <c r="I111" s="521">
        <v>500000</v>
      </c>
      <c r="J111" s="480">
        <v>0</v>
      </c>
      <c r="K111" s="480">
        <v>0</v>
      </c>
      <c r="L111" s="480">
        <v>0</v>
      </c>
      <c r="M111" s="481">
        <f t="shared" si="33"/>
        <v>500000</v>
      </c>
      <c r="N111" s="306"/>
      <c r="O111" s="306"/>
      <c r="P111" s="306"/>
      <c r="Q111" s="306"/>
      <c r="R111" s="306"/>
      <c r="S111" s="306"/>
      <c r="T111" s="307"/>
      <c r="U111" s="307"/>
      <c r="V111" s="307"/>
      <c r="W111" s="307"/>
      <c r="X111" s="307"/>
      <c r="Y111" s="307"/>
      <c r="Z111" s="307"/>
      <c r="AA111" s="307"/>
      <c r="AB111" s="307"/>
      <c r="AC111" s="307"/>
      <c r="AD111" s="307"/>
      <c r="AE111" s="307"/>
      <c r="AP111" s="666"/>
    </row>
    <row r="112" spans="2:44" ht="37.5">
      <c r="B112" s="76">
        <v>3</v>
      </c>
      <c r="C112" s="376" t="s">
        <v>1112</v>
      </c>
      <c r="D112" s="79" t="s">
        <v>781</v>
      </c>
      <c r="E112" s="337"/>
      <c r="F112" s="270"/>
      <c r="G112" s="533"/>
      <c r="H112" s="265">
        <v>0</v>
      </c>
      <c r="I112" s="521">
        <v>9753.61</v>
      </c>
      <c r="J112" s="265">
        <v>80000</v>
      </c>
      <c r="K112" s="265">
        <v>0</v>
      </c>
      <c r="L112" s="265">
        <v>0</v>
      </c>
      <c r="M112" s="494">
        <f>SUM(H112:L112)</f>
        <v>89753.61</v>
      </c>
      <c r="N112" s="306"/>
      <c r="O112" s="306"/>
      <c r="P112" s="306"/>
      <c r="Q112" s="306"/>
      <c r="R112" s="306"/>
      <c r="S112" s="306"/>
      <c r="T112" s="307"/>
      <c r="U112" s="307"/>
      <c r="V112" s="307"/>
      <c r="W112" s="307"/>
      <c r="X112" s="307"/>
      <c r="Y112" s="307"/>
      <c r="Z112" s="322">
        <v>0</v>
      </c>
      <c r="AA112" s="322">
        <v>9753.61</v>
      </c>
      <c r="AB112" s="322">
        <v>80000</v>
      </c>
      <c r="AC112" s="322">
        <v>0</v>
      </c>
      <c r="AD112" s="322">
        <v>0</v>
      </c>
      <c r="AE112" s="322">
        <f>SUM(Z112:AD112)</f>
        <v>89753.61</v>
      </c>
      <c r="AP112" s="666" t="s">
        <v>1406</v>
      </c>
    </row>
    <row r="113" spans="1:42" ht="15.75" thickBot="1">
      <c r="B113" s="21"/>
      <c r="C113" s="22"/>
      <c r="D113" s="249" t="s">
        <v>6</v>
      </c>
      <c r="E113" s="22"/>
      <c r="F113" s="555"/>
      <c r="G113" s="741"/>
      <c r="H113" s="23">
        <f>SUM(H106:H112)</f>
        <v>0</v>
      </c>
      <c r="I113" s="23">
        <f>SUM(I106:I112)</f>
        <v>2443919.3199999998</v>
      </c>
      <c r="J113" s="23">
        <f t="shared" ref="J113:L113" si="34">SUM(J106:J112)</f>
        <v>80000</v>
      </c>
      <c r="K113" s="23">
        <f t="shared" si="34"/>
        <v>0</v>
      </c>
      <c r="L113" s="23">
        <f t="shared" si="34"/>
        <v>0</v>
      </c>
      <c r="M113" s="23">
        <f>SUM(M106:M112)</f>
        <v>2523919.3199999998</v>
      </c>
      <c r="N113" s="23">
        <f t="shared" ref="N113:AE113" si="35">SUM(N106:N112)</f>
        <v>0</v>
      </c>
      <c r="O113" s="23">
        <f t="shared" si="35"/>
        <v>0</v>
      </c>
      <c r="P113" s="23">
        <f t="shared" si="35"/>
        <v>0</v>
      </c>
      <c r="Q113" s="23">
        <f t="shared" si="35"/>
        <v>0</v>
      </c>
      <c r="R113" s="23">
        <f t="shared" si="35"/>
        <v>0</v>
      </c>
      <c r="S113" s="23">
        <f t="shared" si="35"/>
        <v>0</v>
      </c>
      <c r="T113" s="23">
        <f t="shared" si="35"/>
        <v>0</v>
      </c>
      <c r="U113" s="23">
        <f t="shared" si="35"/>
        <v>0</v>
      </c>
      <c r="V113" s="23">
        <f t="shared" si="35"/>
        <v>0</v>
      </c>
      <c r="W113" s="23">
        <f t="shared" si="35"/>
        <v>0</v>
      </c>
      <c r="X113" s="23">
        <f t="shared" si="35"/>
        <v>0</v>
      </c>
      <c r="Y113" s="23">
        <f t="shared" si="35"/>
        <v>0</v>
      </c>
      <c r="Z113" s="23">
        <f t="shared" si="35"/>
        <v>0</v>
      </c>
      <c r="AA113" s="23">
        <f t="shared" si="35"/>
        <v>1009753.61</v>
      </c>
      <c r="AB113" s="23">
        <f t="shared" si="35"/>
        <v>578185.32000000007</v>
      </c>
      <c r="AC113" s="23">
        <f t="shared" si="35"/>
        <v>0</v>
      </c>
      <c r="AD113" s="23">
        <f t="shared" si="35"/>
        <v>0</v>
      </c>
      <c r="AE113" s="23">
        <f t="shared" si="35"/>
        <v>1587938.9300000002</v>
      </c>
      <c r="AP113" s="666"/>
    </row>
    <row r="114" spans="1:42" ht="15.75">
      <c r="B114" s="19"/>
      <c r="C114" s="227"/>
      <c r="D114" s="29"/>
      <c r="E114" s="29"/>
      <c r="F114" s="228"/>
      <c r="G114" s="592"/>
      <c r="H114" s="30"/>
      <c r="I114" s="30"/>
      <c r="J114" s="30"/>
      <c r="K114" s="30"/>
      <c r="L114" s="30"/>
      <c r="M114" s="31"/>
      <c r="N114" s="230"/>
      <c r="O114" s="230"/>
      <c r="P114" s="230"/>
      <c r="Q114" s="230"/>
      <c r="R114" s="230"/>
      <c r="S114" s="230"/>
      <c r="T114" s="231"/>
      <c r="U114" s="231"/>
      <c r="V114" s="231"/>
      <c r="W114" s="231"/>
      <c r="X114" s="231"/>
      <c r="Y114" s="231"/>
      <c r="Z114" s="231"/>
      <c r="AA114" s="231"/>
      <c r="AB114" s="231"/>
      <c r="AC114" s="231"/>
      <c r="AD114" s="231"/>
      <c r="AE114" s="231"/>
      <c r="AP114" s="666"/>
    </row>
    <row r="115" spans="1:42" ht="15.75">
      <c r="B115" s="19"/>
      <c r="C115" s="227"/>
      <c r="D115" s="29"/>
      <c r="E115" s="29"/>
      <c r="F115" s="228"/>
      <c r="G115" s="592"/>
      <c r="H115" s="30"/>
      <c r="I115" s="30"/>
      <c r="J115" s="30"/>
      <c r="K115" s="30"/>
      <c r="L115" s="30"/>
      <c r="M115" s="31"/>
      <c r="N115" s="230"/>
      <c r="O115" s="230"/>
      <c r="P115" s="230"/>
      <c r="Q115" s="230"/>
      <c r="R115" s="230"/>
      <c r="S115" s="230"/>
      <c r="T115" s="231"/>
      <c r="U115" s="231"/>
      <c r="V115" s="231"/>
      <c r="W115" s="231"/>
      <c r="X115" s="231"/>
      <c r="Y115" s="231"/>
      <c r="Z115" s="231"/>
      <c r="AA115" s="231"/>
      <c r="AB115" s="231"/>
      <c r="AC115" s="231"/>
      <c r="AD115" s="231"/>
      <c r="AE115" s="231"/>
      <c r="AP115" s="666"/>
    </row>
    <row r="116" spans="1:42" ht="18.75">
      <c r="B116" s="100"/>
      <c r="C116" s="271"/>
      <c r="D116" s="102" t="s">
        <v>22</v>
      </c>
      <c r="E116" s="99"/>
      <c r="F116" s="272"/>
      <c r="G116" s="272"/>
      <c r="H116" s="107">
        <f>SUM(H117:H131)</f>
        <v>0</v>
      </c>
      <c r="I116" s="107">
        <f t="shared" ref="I116:L116" si="36">SUM(I117:I131)</f>
        <v>2985354.96</v>
      </c>
      <c r="J116" s="107">
        <f t="shared" si="36"/>
        <v>946169.42</v>
      </c>
      <c r="K116" s="107">
        <f t="shared" si="36"/>
        <v>57250000</v>
      </c>
      <c r="L116" s="107">
        <f t="shared" si="36"/>
        <v>11397623.4</v>
      </c>
      <c r="M116" s="107">
        <f>SUM(H116:L116)</f>
        <v>72579147.780000001</v>
      </c>
      <c r="N116" s="306"/>
      <c r="O116" s="306"/>
      <c r="P116" s="306"/>
      <c r="Q116" s="306"/>
      <c r="R116" s="306"/>
      <c r="S116" s="306"/>
      <c r="T116" s="307"/>
      <c r="U116" s="307"/>
      <c r="V116" s="307"/>
      <c r="W116" s="307"/>
      <c r="X116" s="307"/>
      <c r="Y116" s="307"/>
      <c r="Z116" s="307"/>
      <c r="AA116" s="307"/>
      <c r="AB116" s="307"/>
      <c r="AC116" s="307"/>
      <c r="AD116" s="307"/>
      <c r="AE116" s="307"/>
      <c r="AP116" s="666"/>
    </row>
    <row r="117" spans="1:42" ht="18.75">
      <c r="B117" s="70">
        <v>1</v>
      </c>
      <c r="C117" s="247"/>
      <c r="D117" s="81" t="s">
        <v>23</v>
      </c>
      <c r="E117" s="81"/>
      <c r="F117" s="270"/>
      <c r="G117" s="533"/>
      <c r="H117" s="72"/>
      <c r="I117" s="72"/>
      <c r="J117" s="72"/>
      <c r="K117" s="72"/>
      <c r="L117" s="72"/>
      <c r="M117" s="73"/>
      <c r="N117" s="306"/>
      <c r="O117" s="306"/>
      <c r="P117" s="306"/>
      <c r="Q117" s="306"/>
      <c r="R117" s="306"/>
      <c r="S117" s="306"/>
      <c r="T117" s="307"/>
      <c r="U117" s="307"/>
      <c r="V117" s="307"/>
      <c r="W117" s="307"/>
      <c r="X117" s="307"/>
      <c r="Y117" s="307"/>
      <c r="Z117" s="307"/>
      <c r="AA117" s="307"/>
      <c r="AB117" s="307"/>
      <c r="AC117" s="307"/>
      <c r="AD117" s="307"/>
      <c r="AE117" s="307"/>
      <c r="AP117" s="666"/>
    </row>
    <row r="118" spans="1:42" ht="81.75" customHeight="1">
      <c r="A118" t="s">
        <v>845</v>
      </c>
      <c r="B118" s="338">
        <v>1.1000000000000001</v>
      </c>
      <c r="C118" s="376" t="s">
        <v>953</v>
      </c>
      <c r="D118" s="251" t="s">
        <v>699</v>
      </c>
      <c r="E118" s="251" t="s">
        <v>684</v>
      </c>
      <c r="F118" s="556"/>
      <c r="G118" s="791" t="s">
        <v>1495</v>
      </c>
      <c r="H118" s="334">
        <v>0</v>
      </c>
      <c r="I118" s="170">
        <f>301959.93+81211.42-19129.75</f>
        <v>364041.6</v>
      </c>
      <c r="J118" s="339">
        <v>0</v>
      </c>
      <c r="K118" s="78">
        <v>301959.93</v>
      </c>
      <c r="L118" s="334">
        <v>0</v>
      </c>
      <c r="M118" s="331">
        <f>SUM(H118:L118)</f>
        <v>666001.53</v>
      </c>
      <c r="N118" s="322"/>
      <c r="O118" s="322">
        <f>274593.91+89447.69</f>
        <v>364041.6</v>
      </c>
      <c r="P118" s="322"/>
      <c r="Q118" s="322">
        <f>301959.93+0</f>
        <v>301959.93</v>
      </c>
      <c r="R118" s="322"/>
      <c r="S118" s="322">
        <f>SUM(N118:R118)</f>
        <v>666001.53</v>
      </c>
      <c r="T118" s="322"/>
      <c r="U118" s="535">
        <f>+I118-O118</f>
        <v>0</v>
      </c>
      <c r="V118" s="322"/>
      <c r="W118" s="535">
        <f>+K118-Q118</f>
        <v>0</v>
      </c>
      <c r="X118" s="307"/>
      <c r="Y118" s="307"/>
      <c r="Z118" s="322">
        <v>0</v>
      </c>
      <c r="AA118" s="322">
        <v>383171.35</v>
      </c>
      <c r="AB118" s="322">
        <v>0</v>
      </c>
      <c r="AC118" s="322">
        <v>301959.93</v>
      </c>
      <c r="AD118" s="322">
        <v>0</v>
      </c>
      <c r="AE118" s="322">
        <v>685131.28</v>
      </c>
      <c r="AF118" s="804">
        <v>19129.75</v>
      </c>
      <c r="AP118" s="666"/>
    </row>
    <row r="119" spans="1:42" ht="56.25">
      <c r="B119" s="338">
        <v>1.2</v>
      </c>
      <c r="C119" s="247"/>
      <c r="D119" s="251" t="s">
        <v>700</v>
      </c>
      <c r="E119" s="251" t="s">
        <v>701</v>
      </c>
      <c r="F119" s="270"/>
      <c r="G119" s="533"/>
      <c r="H119" s="334">
        <v>0</v>
      </c>
      <c r="I119" s="339">
        <f>1763999.73+59061.11-881999.87-941060.97</f>
        <v>0</v>
      </c>
      <c r="J119" s="339">
        <f>90938.89-59061.11-31877.78</f>
        <v>0</v>
      </c>
      <c r="K119" s="78">
        <f>1763999.73-90938.89-881999.86-791060.98</f>
        <v>0</v>
      </c>
      <c r="L119" s="334">
        <v>0</v>
      </c>
      <c r="M119" s="331">
        <f t="shared" ref="M119:M131" si="37">SUM(H119:L119)</f>
        <v>0</v>
      </c>
      <c r="N119" s="322"/>
      <c r="O119" s="322"/>
      <c r="P119" s="322"/>
      <c r="Q119" s="322"/>
      <c r="R119" s="322"/>
      <c r="S119" s="322"/>
      <c r="T119" s="322"/>
      <c r="U119" s="307"/>
      <c r="V119" s="307"/>
      <c r="W119" s="307"/>
      <c r="X119" s="307"/>
      <c r="Y119" s="307"/>
      <c r="Z119" s="307"/>
      <c r="AA119" s="307"/>
      <c r="AB119" s="307"/>
      <c r="AC119" s="307"/>
      <c r="AD119" s="307"/>
      <c r="AE119" s="307"/>
      <c r="AP119" s="666"/>
    </row>
    <row r="120" spans="1:42" ht="92.25" customHeight="1">
      <c r="A120" t="s">
        <v>845</v>
      </c>
      <c r="B120" s="338" t="s">
        <v>883</v>
      </c>
      <c r="C120" s="178" t="s">
        <v>898</v>
      </c>
      <c r="D120" s="251" t="s">
        <v>881</v>
      </c>
      <c r="E120" s="251"/>
      <c r="F120" s="818" t="s">
        <v>1496</v>
      </c>
      <c r="G120" s="791" t="s">
        <v>1497</v>
      </c>
      <c r="H120" s="334">
        <v>0</v>
      </c>
      <c r="I120" s="334">
        <f>881999.87-37517.51</f>
        <v>844482.36</v>
      </c>
      <c r="J120" s="334">
        <v>0</v>
      </c>
      <c r="K120" s="78">
        <v>881999.86</v>
      </c>
      <c r="L120" s="334">
        <v>0</v>
      </c>
      <c r="M120" s="331">
        <f t="shared" si="37"/>
        <v>1726482.22</v>
      </c>
      <c r="N120" s="322">
        <v>0</v>
      </c>
      <c r="O120" s="322">
        <f>374467.44+255485.99</f>
        <v>629953.42999999993</v>
      </c>
      <c r="P120" s="418"/>
      <c r="Q120" s="322">
        <f>474277.15+370205.2</f>
        <v>844482.35000000009</v>
      </c>
      <c r="R120" s="418"/>
      <c r="S120" s="322">
        <f>SUM(N120:R120)</f>
        <v>1474435.78</v>
      </c>
      <c r="T120" s="307"/>
      <c r="U120" s="322">
        <f>+I120-O120</f>
        <v>214528.93000000005</v>
      </c>
      <c r="V120" s="307"/>
      <c r="W120" s="322">
        <f>+K120-Q120</f>
        <v>37517.509999999893</v>
      </c>
      <c r="X120" s="307"/>
      <c r="Y120" s="322">
        <f>SUM(T120:X120)</f>
        <v>252046.43999999994</v>
      </c>
      <c r="Z120" s="322">
        <v>0</v>
      </c>
      <c r="AA120" s="322">
        <v>844482.36</v>
      </c>
      <c r="AB120" s="322">
        <v>0</v>
      </c>
      <c r="AC120" s="322">
        <v>844482.35</v>
      </c>
      <c r="AD120" s="322">
        <v>0</v>
      </c>
      <c r="AE120" s="322">
        <f>SUM(Z120:AD120)</f>
        <v>1688964.71</v>
      </c>
      <c r="AF120" s="804">
        <v>37517.510000000009</v>
      </c>
      <c r="AP120" s="666" t="s">
        <v>1406</v>
      </c>
    </row>
    <row r="121" spans="1:42" ht="96" customHeight="1">
      <c r="B121" s="338" t="s">
        <v>884</v>
      </c>
      <c r="C121" s="247" t="s">
        <v>887</v>
      </c>
      <c r="D121" s="251" t="s">
        <v>882</v>
      </c>
      <c r="E121" s="251"/>
      <c r="F121" s="270"/>
      <c r="G121" s="791" t="s">
        <v>1498</v>
      </c>
      <c r="H121" s="334">
        <v>0</v>
      </c>
      <c r="I121" s="339">
        <f>941060.97-89012.09</f>
        <v>852048.88</v>
      </c>
      <c r="J121" s="339">
        <v>31877.78</v>
      </c>
      <c r="K121" s="78">
        <v>791060.98</v>
      </c>
      <c r="L121" s="334">
        <v>0</v>
      </c>
      <c r="M121" s="331">
        <f t="shared" si="37"/>
        <v>1674987.6400000001</v>
      </c>
      <c r="N121" s="418"/>
      <c r="O121" s="322">
        <f>347426.26+504622.62</f>
        <v>852048.88</v>
      </c>
      <c r="P121" s="418"/>
      <c r="Q121" s="322">
        <f>36727.98+51443.52+702889.48</f>
        <v>791060.98</v>
      </c>
      <c r="R121" s="418"/>
      <c r="S121" s="322">
        <f>SUM(N121:R121)</f>
        <v>1643109.8599999999</v>
      </c>
      <c r="T121" s="307"/>
      <c r="U121" s="535">
        <f>+I121-O121</f>
        <v>0</v>
      </c>
      <c r="V121" s="535">
        <f>+J121-P121</f>
        <v>31877.78</v>
      </c>
      <c r="W121" s="535">
        <f>+K121-Q121</f>
        <v>0</v>
      </c>
      <c r="X121" s="307"/>
      <c r="Y121" s="307"/>
      <c r="Z121" s="322">
        <v>0</v>
      </c>
      <c r="AA121" s="322">
        <v>901992.59</v>
      </c>
      <c r="AB121" s="322">
        <v>0</v>
      </c>
      <c r="AC121" s="322">
        <v>791060.98</v>
      </c>
      <c r="AD121" s="322">
        <v>0</v>
      </c>
      <c r="AE121" s="322">
        <f>SUM(Z121:AD121)</f>
        <v>1693053.5699999998</v>
      </c>
      <c r="AF121" s="804">
        <v>89012.09</v>
      </c>
      <c r="AK121" s="850">
        <v>31877.78</v>
      </c>
      <c r="AP121" s="666" t="s">
        <v>1406</v>
      </c>
    </row>
    <row r="122" spans="1:42" ht="56.25">
      <c r="A122" t="s">
        <v>845</v>
      </c>
      <c r="B122" s="84">
        <v>1.3</v>
      </c>
      <c r="C122" s="376" t="s">
        <v>954</v>
      </c>
      <c r="D122" s="251" t="s">
        <v>989</v>
      </c>
      <c r="E122" s="251" t="s">
        <v>702</v>
      </c>
      <c r="F122" s="531"/>
      <c r="G122" s="737"/>
      <c r="H122" s="334">
        <v>0</v>
      </c>
      <c r="I122" s="170">
        <f>524979.23+61223.52</f>
        <v>586202.75</v>
      </c>
      <c r="J122" s="78">
        <f>0+664291.64</f>
        <v>664291.64</v>
      </c>
      <c r="K122" s="78">
        <v>524979.23</v>
      </c>
      <c r="L122" s="334">
        <v>0</v>
      </c>
      <c r="M122" s="331">
        <f t="shared" si="37"/>
        <v>1775473.62</v>
      </c>
      <c r="N122" s="418"/>
      <c r="O122" s="322">
        <f>130328.97+122142.11+333731.67</f>
        <v>586202.75</v>
      </c>
      <c r="P122" s="322">
        <v>160675.85999999999</v>
      </c>
      <c r="Q122" s="322">
        <f>130328.97+122142.1+272508.16</f>
        <v>524979.23</v>
      </c>
      <c r="R122" s="418"/>
      <c r="S122" s="322">
        <f>SUM(N122:R122)</f>
        <v>1271857.8399999999</v>
      </c>
      <c r="T122" s="307"/>
      <c r="U122" s="322">
        <f>+I122-O122</f>
        <v>0</v>
      </c>
      <c r="V122" s="322">
        <f>+J122-P122</f>
        <v>503615.78</v>
      </c>
      <c r="W122" s="322">
        <f>+K122-Q122</f>
        <v>0</v>
      </c>
      <c r="X122" s="307"/>
      <c r="Y122" s="307"/>
      <c r="Z122" s="322">
        <v>0</v>
      </c>
      <c r="AA122" s="322">
        <f>524979.23+61223.52</f>
        <v>586202.75</v>
      </c>
      <c r="AB122" s="322">
        <v>603068.12</v>
      </c>
      <c r="AC122" s="322">
        <v>524979.23</v>
      </c>
      <c r="AD122" s="322">
        <v>0</v>
      </c>
      <c r="AE122" s="322">
        <f>SUM(Z122:AD122)</f>
        <v>1714250.1</v>
      </c>
      <c r="AF122" s="440">
        <f>I122-AA122</f>
        <v>0</v>
      </c>
      <c r="AG122" s="508">
        <v>60769.02</v>
      </c>
      <c r="AI122" s="440">
        <f>AF122-AG122</f>
        <v>-60769.02</v>
      </c>
      <c r="AP122" s="666" t="s">
        <v>1406</v>
      </c>
    </row>
    <row r="123" spans="1:42" ht="37.5">
      <c r="B123" s="70">
        <v>1.4</v>
      </c>
      <c r="C123" s="247"/>
      <c r="D123" s="86" t="s">
        <v>101</v>
      </c>
      <c r="E123" s="86" t="s">
        <v>701</v>
      </c>
      <c r="F123" s="270"/>
      <c r="G123" s="533"/>
      <c r="H123" s="480">
        <v>0</v>
      </c>
      <c r="I123" s="480">
        <v>0</v>
      </c>
      <c r="J123" s="480">
        <v>0</v>
      </c>
      <c r="K123" s="72">
        <v>3000000</v>
      </c>
      <c r="L123" s="480">
        <v>0</v>
      </c>
      <c r="M123" s="481">
        <f t="shared" si="37"/>
        <v>3000000</v>
      </c>
      <c r="N123" s="418"/>
      <c r="O123" s="418"/>
      <c r="P123" s="418"/>
      <c r="Q123" s="418"/>
      <c r="R123" s="418"/>
      <c r="S123" s="306"/>
      <c r="T123" s="307"/>
      <c r="U123" s="307"/>
      <c r="V123" s="307"/>
      <c r="W123" s="307"/>
      <c r="X123" s="307"/>
      <c r="Y123" s="307"/>
      <c r="Z123" s="307"/>
      <c r="AA123" s="307"/>
      <c r="AB123" s="307"/>
      <c r="AC123" s="307"/>
      <c r="AD123" s="307"/>
      <c r="AE123" s="307"/>
      <c r="AP123" s="666"/>
    </row>
    <row r="124" spans="1:42" ht="18.75">
      <c r="B124" s="70">
        <v>2</v>
      </c>
      <c r="C124" s="247"/>
      <c r="D124" s="114" t="s">
        <v>90</v>
      </c>
      <c r="E124" s="87"/>
      <c r="F124" s="270"/>
      <c r="G124" s="533"/>
      <c r="H124" s="72"/>
      <c r="I124" s="72"/>
      <c r="J124" s="83"/>
      <c r="K124" s="72"/>
      <c r="L124" s="72">
        <f>11397623.4-4000000-4000000-997500-1500000-900123.4</f>
        <v>0</v>
      </c>
      <c r="M124" s="481">
        <f t="shared" si="37"/>
        <v>0</v>
      </c>
      <c r="N124" s="306"/>
      <c r="O124" s="306"/>
      <c r="P124" s="306"/>
      <c r="Q124" s="306"/>
      <c r="R124" s="306"/>
      <c r="S124" s="306"/>
      <c r="T124" s="307"/>
      <c r="U124" s="307"/>
      <c r="V124" s="307"/>
      <c r="W124" s="307"/>
      <c r="X124" s="307"/>
      <c r="Y124" s="307"/>
      <c r="Z124" s="307"/>
      <c r="AA124" s="307"/>
      <c r="AB124" s="307"/>
      <c r="AC124" s="307"/>
      <c r="AD124" s="307"/>
      <c r="AE124" s="307"/>
      <c r="AP124" s="666"/>
    </row>
    <row r="125" spans="1:42" ht="18.75">
      <c r="B125" s="70">
        <v>2.1</v>
      </c>
      <c r="C125" s="247"/>
      <c r="D125" s="86" t="s">
        <v>102</v>
      </c>
      <c r="E125" s="86" t="s">
        <v>695</v>
      </c>
      <c r="F125" s="270"/>
      <c r="G125" s="533"/>
      <c r="H125" s="480">
        <v>0</v>
      </c>
      <c r="I125" s="480">
        <v>0</v>
      </c>
      <c r="J125" s="480">
        <v>0</v>
      </c>
      <c r="K125" s="480">
        <v>0</v>
      </c>
      <c r="L125" s="72">
        <v>4000000</v>
      </c>
      <c r="M125" s="481">
        <f t="shared" si="37"/>
        <v>4000000</v>
      </c>
      <c r="N125" s="306"/>
      <c r="O125" s="306"/>
      <c r="P125" s="306"/>
      <c r="Q125" s="306"/>
      <c r="R125" s="306"/>
      <c r="S125" s="306"/>
      <c r="T125" s="307"/>
      <c r="U125" s="307"/>
      <c r="V125" s="307"/>
      <c r="W125" s="307"/>
      <c r="X125" s="307"/>
      <c r="Y125" s="307"/>
      <c r="Z125" s="307"/>
      <c r="AA125" s="307"/>
      <c r="AB125" s="307"/>
      <c r="AC125" s="307"/>
      <c r="AD125" s="307"/>
      <c r="AE125" s="307"/>
      <c r="AP125" s="666"/>
    </row>
    <row r="126" spans="1:42" ht="37.5">
      <c r="B126" s="70">
        <v>2.2000000000000002</v>
      </c>
      <c r="C126" s="247"/>
      <c r="D126" s="86" t="s">
        <v>103</v>
      </c>
      <c r="E126" s="86" t="s">
        <v>686</v>
      </c>
      <c r="F126" s="270">
        <f>120610.7+267558.7</f>
        <v>388169.4</v>
      </c>
      <c r="G126" s="533"/>
      <c r="H126" s="480">
        <v>0</v>
      </c>
      <c r="I126" s="480">
        <v>0</v>
      </c>
      <c r="J126" s="480">
        <v>0</v>
      </c>
      <c r="K126" s="480">
        <v>0</v>
      </c>
      <c r="L126" s="72">
        <v>4000000</v>
      </c>
      <c r="M126" s="481">
        <f t="shared" si="37"/>
        <v>4000000</v>
      </c>
      <c r="N126" s="306"/>
      <c r="O126" s="306"/>
      <c r="P126" s="306"/>
      <c r="Q126" s="306"/>
      <c r="R126" s="306"/>
      <c r="S126" s="306"/>
      <c r="T126" s="307"/>
      <c r="U126" s="307"/>
      <c r="V126" s="307"/>
      <c r="W126" s="307"/>
      <c r="X126" s="307"/>
      <c r="Y126" s="307"/>
      <c r="Z126" s="307"/>
      <c r="AA126" s="307"/>
      <c r="AB126" s="307"/>
      <c r="AC126" s="307"/>
      <c r="AD126" s="307"/>
      <c r="AE126" s="307"/>
      <c r="AP126" s="666"/>
    </row>
    <row r="127" spans="1:42" ht="45">
      <c r="B127" s="70">
        <v>2.2999999999999998</v>
      </c>
      <c r="C127" s="247" t="s">
        <v>1029</v>
      </c>
      <c r="D127" s="10" t="s">
        <v>1070</v>
      </c>
      <c r="E127" s="86" t="s">
        <v>703</v>
      </c>
      <c r="F127" s="507">
        <v>986527.5</v>
      </c>
      <c r="G127" s="744"/>
      <c r="H127" s="480">
        <v>0</v>
      </c>
      <c r="I127" s="480">
        <v>0</v>
      </c>
      <c r="J127" s="480">
        <v>0</v>
      </c>
      <c r="K127" s="480">
        <v>0</v>
      </c>
      <c r="L127" s="72">
        <v>997500</v>
      </c>
      <c r="M127" s="494">
        <f t="shared" si="37"/>
        <v>997500</v>
      </c>
      <c r="N127" s="418"/>
      <c r="O127" s="418"/>
      <c r="P127" s="418"/>
      <c r="Q127" s="418"/>
      <c r="R127" s="418"/>
      <c r="S127" s="418"/>
      <c r="T127" s="307"/>
      <c r="U127" s="307"/>
      <c r="V127" s="307"/>
      <c r="W127" s="307"/>
      <c r="X127" s="307"/>
      <c r="Y127" s="307"/>
      <c r="Z127" s="307"/>
      <c r="AA127" s="307"/>
      <c r="AB127" s="307"/>
      <c r="AC127" s="307"/>
      <c r="AD127" s="307"/>
      <c r="AE127" s="307"/>
      <c r="AP127" s="666"/>
    </row>
    <row r="128" spans="1:42" ht="45">
      <c r="B128" s="70">
        <v>2.4</v>
      </c>
      <c r="C128" s="247" t="s">
        <v>772</v>
      </c>
      <c r="D128" s="86" t="s">
        <v>24</v>
      </c>
      <c r="E128" s="86" t="s">
        <v>701</v>
      </c>
      <c r="F128" s="653" t="s">
        <v>1392</v>
      </c>
      <c r="G128" s="564"/>
      <c r="H128" s="480">
        <v>0</v>
      </c>
      <c r="I128" s="480">
        <v>0</v>
      </c>
      <c r="J128" s="480">
        <v>0</v>
      </c>
      <c r="K128" s="480">
        <v>0</v>
      </c>
      <c r="L128" s="72">
        <v>1500000</v>
      </c>
      <c r="M128" s="481">
        <f t="shared" si="37"/>
        <v>1500000</v>
      </c>
      <c r="N128" s="418"/>
      <c r="O128" s="418"/>
      <c r="P128" s="418"/>
      <c r="Q128" s="418"/>
      <c r="R128" s="322">
        <f>412373.17+0+437431.53+0+633695.3+0</f>
        <v>1483500</v>
      </c>
      <c r="S128" s="322">
        <f>SUM(N128:R128)</f>
        <v>1483500</v>
      </c>
      <c r="T128" s="322"/>
      <c r="U128" s="322"/>
      <c r="V128" s="322"/>
      <c r="W128" s="322"/>
      <c r="X128" s="535">
        <f>+L128-R128</f>
        <v>16500</v>
      </c>
      <c r="Y128" s="322">
        <f>SUM(T128:X128)</f>
        <v>16500</v>
      </c>
      <c r="Z128" s="322">
        <v>0</v>
      </c>
      <c r="AA128" s="322">
        <v>0</v>
      </c>
      <c r="AB128" s="322">
        <v>0</v>
      </c>
      <c r="AC128" s="322">
        <v>0</v>
      </c>
      <c r="AD128" s="322">
        <f>1136359.27+347140.73</f>
        <v>1483500</v>
      </c>
      <c r="AE128" s="322">
        <f>SUM(Z128:AD128)</f>
        <v>1483500</v>
      </c>
      <c r="AF128" s="182"/>
      <c r="AP128" s="666"/>
    </row>
    <row r="129" spans="1:42" ht="45">
      <c r="A129" t="s">
        <v>29</v>
      </c>
      <c r="B129" s="70">
        <v>2.5</v>
      </c>
      <c r="C129" s="247" t="s">
        <v>772</v>
      </c>
      <c r="D129" s="86" t="s">
        <v>25</v>
      </c>
      <c r="E129" s="86" t="s">
        <v>701</v>
      </c>
      <c r="F129" s="653" t="s">
        <v>1391</v>
      </c>
      <c r="G129" s="564"/>
      <c r="H129" s="480">
        <v>0</v>
      </c>
      <c r="I129" s="480">
        <f>0+267558.7</f>
        <v>267558.7</v>
      </c>
      <c r="J129" s="480">
        <v>0</v>
      </c>
      <c r="K129" s="480">
        <v>0</v>
      </c>
      <c r="L129" s="72">
        <v>900123.4</v>
      </c>
      <c r="M129" s="481">
        <f t="shared" si="37"/>
        <v>1167682.1000000001</v>
      </c>
      <c r="N129" s="418"/>
      <c r="O129" s="322">
        <v>267558.7</v>
      </c>
      <c r="P129" s="418"/>
      <c r="Q129" s="418"/>
      <c r="R129" s="322">
        <f>360525.39+378273.41+151422.85</f>
        <v>890221.65</v>
      </c>
      <c r="S129" s="322">
        <f>SUM(N129:R129)</f>
        <v>1157780.3500000001</v>
      </c>
      <c r="T129" s="307"/>
      <c r="U129" s="419">
        <f>+I129-O129</f>
        <v>0</v>
      </c>
      <c r="V129" s="307"/>
      <c r="W129" s="307"/>
      <c r="X129" s="535">
        <f>+L129-R129</f>
        <v>9901.75</v>
      </c>
      <c r="Y129" s="322">
        <f>SUM(T129:X129)</f>
        <v>9901.75</v>
      </c>
      <c r="Z129" s="322">
        <v>0</v>
      </c>
      <c r="AA129" s="322">
        <v>267558.7</v>
      </c>
      <c r="AB129" s="322">
        <v>0</v>
      </c>
      <c r="AC129" s="322">
        <v>0</v>
      </c>
      <c r="AD129" s="322">
        <f>769610.95+120610.7</f>
        <v>890221.64999999991</v>
      </c>
      <c r="AE129" s="322">
        <f>SUM(Z129:AD129)</f>
        <v>1157780.3499999999</v>
      </c>
      <c r="AF129" s="182"/>
      <c r="AP129" s="666"/>
    </row>
    <row r="130" spans="1:42" ht="18.75">
      <c r="B130" s="70">
        <v>3</v>
      </c>
      <c r="C130" s="247"/>
      <c r="D130" s="86" t="s">
        <v>92</v>
      </c>
      <c r="E130" s="86" t="s">
        <v>695</v>
      </c>
      <c r="F130" s="270"/>
      <c r="G130" s="533"/>
      <c r="H130" s="480">
        <v>0</v>
      </c>
      <c r="I130" s="480">
        <v>0</v>
      </c>
      <c r="J130" s="480">
        <v>0</v>
      </c>
      <c r="K130" s="72">
        <v>50000000</v>
      </c>
      <c r="L130" s="480">
        <v>0</v>
      </c>
      <c r="M130" s="481">
        <f t="shared" si="37"/>
        <v>50000000</v>
      </c>
      <c r="N130" s="418"/>
      <c r="O130" s="418"/>
      <c r="P130" s="418"/>
      <c r="Q130" s="418"/>
      <c r="R130" s="418"/>
      <c r="S130" s="322">
        <f t="shared" ref="S130:S131" si="38">SUM(N130:R130)</f>
        <v>0</v>
      </c>
      <c r="T130" s="307"/>
      <c r="U130" s="307"/>
      <c r="V130" s="307"/>
      <c r="W130" s="307"/>
      <c r="X130" s="307"/>
      <c r="Y130" s="307"/>
      <c r="Z130" s="307"/>
      <c r="AA130" s="307"/>
      <c r="AB130" s="307"/>
      <c r="AC130" s="307"/>
      <c r="AD130" s="307"/>
      <c r="AE130" s="307"/>
      <c r="AP130" s="666"/>
    </row>
    <row r="131" spans="1:42" ht="141.75">
      <c r="B131" s="76">
        <v>4</v>
      </c>
      <c r="C131" s="455" t="s">
        <v>1216</v>
      </c>
      <c r="D131" s="500" t="s">
        <v>990</v>
      </c>
      <c r="E131" s="500" t="s">
        <v>991</v>
      </c>
      <c r="F131" s="583" t="s">
        <v>1164</v>
      </c>
      <c r="G131" s="791" t="s">
        <v>1499</v>
      </c>
      <c r="H131" s="265">
        <v>0</v>
      </c>
      <c r="I131" s="265">
        <f>0+71020.67</f>
        <v>71020.67</v>
      </c>
      <c r="J131" s="265">
        <f>500000-250000</f>
        <v>250000</v>
      </c>
      <c r="K131" s="266">
        <f>1500000+250000</f>
        <v>1750000</v>
      </c>
      <c r="L131" s="265">
        <v>0</v>
      </c>
      <c r="M131" s="481">
        <f t="shared" si="37"/>
        <v>2071020.67</v>
      </c>
      <c r="N131" s="418"/>
      <c r="O131" s="418"/>
      <c r="P131" s="322">
        <v>73885.11</v>
      </c>
      <c r="Q131" s="322">
        <v>517195.77</v>
      </c>
      <c r="R131" s="418"/>
      <c r="S131" s="322">
        <f t="shared" si="38"/>
        <v>591080.88</v>
      </c>
      <c r="T131" s="307"/>
      <c r="U131" s="307"/>
      <c r="V131" s="322">
        <f>+J131-P131</f>
        <v>176114.89</v>
      </c>
      <c r="W131" s="322">
        <f>+K131-Q131</f>
        <v>1232804.23</v>
      </c>
      <c r="X131" s="307"/>
      <c r="Y131" s="307"/>
      <c r="Z131" s="322">
        <v>0</v>
      </c>
      <c r="AA131" s="322">
        <v>0</v>
      </c>
      <c r="AB131" s="322">
        <f>500000-250000</f>
        <v>250000</v>
      </c>
      <c r="AC131" s="322">
        <f>1500000+250000</f>
        <v>1750000</v>
      </c>
      <c r="AD131" s="322">
        <v>0</v>
      </c>
      <c r="AE131" s="322">
        <f>SUM(Z131:AD131)</f>
        <v>2000000</v>
      </c>
      <c r="AF131" s="805">
        <v>71020.67</v>
      </c>
      <c r="AP131" s="666" t="s">
        <v>1406</v>
      </c>
    </row>
    <row r="132" spans="1:42" ht="15.75" thickBot="1">
      <c r="B132" s="22"/>
      <c r="C132" s="247"/>
      <c r="D132" s="249" t="s">
        <v>6</v>
      </c>
      <c r="E132" s="22"/>
      <c r="F132" s="22"/>
      <c r="G132" s="745"/>
      <c r="H132" s="264">
        <f t="shared" ref="H132:AE132" si="39">SUM(H117:H131)</f>
        <v>0</v>
      </c>
      <c r="I132" s="264">
        <f t="shared" si="39"/>
        <v>2985354.96</v>
      </c>
      <c r="J132" s="264">
        <f t="shared" si="39"/>
        <v>946169.42</v>
      </c>
      <c r="K132" s="264">
        <f t="shared" si="39"/>
        <v>57250000</v>
      </c>
      <c r="L132" s="264">
        <f t="shared" si="39"/>
        <v>11397623.4</v>
      </c>
      <c r="M132" s="264">
        <f t="shared" si="39"/>
        <v>72579147.780000001</v>
      </c>
      <c r="N132" s="264">
        <f t="shared" si="39"/>
        <v>0</v>
      </c>
      <c r="O132" s="264">
        <f t="shared" si="39"/>
        <v>2699805.3600000003</v>
      </c>
      <c r="P132" s="264">
        <f t="shared" si="39"/>
        <v>234560.96999999997</v>
      </c>
      <c r="Q132" s="264">
        <f t="shared" si="39"/>
        <v>2979678.2600000002</v>
      </c>
      <c r="R132" s="264">
        <f t="shared" si="39"/>
        <v>2373721.65</v>
      </c>
      <c r="S132" s="264">
        <f t="shared" si="39"/>
        <v>8287766.2399999993</v>
      </c>
      <c r="T132" s="264">
        <f t="shared" si="39"/>
        <v>0</v>
      </c>
      <c r="U132" s="264">
        <f t="shared" si="39"/>
        <v>214528.93000000005</v>
      </c>
      <c r="V132" s="264">
        <f t="shared" si="39"/>
        <v>711608.45000000007</v>
      </c>
      <c r="W132" s="264">
        <f t="shared" si="39"/>
        <v>1270321.7399999998</v>
      </c>
      <c r="X132" s="264">
        <f t="shared" si="39"/>
        <v>26401.75</v>
      </c>
      <c r="Y132" s="264">
        <f t="shared" si="39"/>
        <v>278448.18999999994</v>
      </c>
      <c r="Z132" s="264">
        <f t="shared" si="39"/>
        <v>0</v>
      </c>
      <c r="AA132" s="264">
        <f t="shared" si="39"/>
        <v>2983407.75</v>
      </c>
      <c r="AB132" s="264">
        <f t="shared" si="39"/>
        <v>853068.12</v>
      </c>
      <c r="AC132" s="264">
        <f t="shared" si="39"/>
        <v>4212482.49</v>
      </c>
      <c r="AD132" s="264">
        <f t="shared" si="39"/>
        <v>2373721.65</v>
      </c>
      <c r="AE132" s="264">
        <f t="shared" si="39"/>
        <v>10422680.01</v>
      </c>
      <c r="AP132" s="666"/>
    </row>
    <row r="133" spans="1:42" ht="15.75">
      <c r="B133" s="41"/>
      <c r="C133" s="227"/>
      <c r="D133" s="42"/>
      <c r="E133" s="42"/>
      <c r="F133" s="228"/>
      <c r="G133" s="592"/>
      <c r="H133" s="43"/>
      <c r="I133" s="43"/>
      <c r="J133" s="43"/>
      <c r="K133" s="43"/>
      <c r="L133" s="43"/>
      <c r="M133" s="44"/>
      <c r="N133" s="230"/>
      <c r="O133" s="230"/>
      <c r="P133" s="230"/>
      <c r="Q133" s="230"/>
      <c r="R133" s="230"/>
      <c r="S133" s="230"/>
      <c r="T133" s="231"/>
      <c r="U133" s="231"/>
      <c r="V133" s="231"/>
      <c r="W133" s="231"/>
      <c r="X133" s="231"/>
      <c r="Y133" s="231"/>
      <c r="Z133" s="231"/>
      <c r="AA133" s="231"/>
      <c r="AB133" s="231"/>
      <c r="AC133" s="231"/>
      <c r="AD133" s="231"/>
      <c r="AE133" s="231"/>
      <c r="AP133" s="666"/>
    </row>
    <row r="134" spans="1:42" ht="18.75">
      <c r="B134" s="100"/>
      <c r="C134" s="271"/>
      <c r="D134" s="102" t="s">
        <v>26</v>
      </c>
      <c r="E134" s="98"/>
      <c r="F134" s="557"/>
      <c r="G134" s="558"/>
      <c r="H134" s="107">
        <f>SUM(H135:H172)</f>
        <v>19079826.439999998</v>
      </c>
      <c r="I134" s="107">
        <f>SUM(I135:I173)</f>
        <v>4087616.01</v>
      </c>
      <c r="J134" s="107">
        <f t="shared" ref="J134:L134" si="40">SUM(J135:J172)</f>
        <v>4745666.2</v>
      </c>
      <c r="K134" s="107">
        <f t="shared" si="40"/>
        <v>4799119.9499999993</v>
      </c>
      <c r="L134" s="107">
        <f t="shared" si="40"/>
        <v>27997428.000000004</v>
      </c>
      <c r="M134" s="107">
        <f>SUM(H134:L134)</f>
        <v>60709656.599999994</v>
      </c>
      <c r="N134" s="306"/>
      <c r="O134" s="306"/>
      <c r="P134" s="306"/>
      <c r="Q134" s="306"/>
      <c r="R134" s="306"/>
      <c r="S134" s="306"/>
      <c r="T134" s="307"/>
      <c r="U134" s="307"/>
      <c r="V134" s="307"/>
      <c r="W134" s="307"/>
      <c r="X134" s="307"/>
      <c r="Y134" s="307"/>
      <c r="Z134" s="307"/>
      <c r="AA134" s="307"/>
      <c r="AB134" s="307"/>
      <c r="AC134" s="307"/>
      <c r="AD134" s="307"/>
      <c r="AE134" s="307"/>
      <c r="AP134" s="666"/>
    </row>
    <row r="135" spans="1:42" ht="30">
      <c r="B135" s="90">
        <v>1</v>
      </c>
      <c r="C135" s="376" t="s">
        <v>1220</v>
      </c>
      <c r="D135" s="459" t="s">
        <v>937</v>
      </c>
      <c r="E135" s="92" t="s">
        <v>704</v>
      </c>
      <c r="F135" s="270"/>
      <c r="G135" s="731"/>
      <c r="H135" s="698">
        <v>749531.34</v>
      </c>
      <c r="I135" s="480">
        <v>0</v>
      </c>
      <c r="J135" s="480">
        <v>0</v>
      </c>
      <c r="K135" s="480">
        <v>0</v>
      </c>
      <c r="L135" s="480">
        <v>0</v>
      </c>
      <c r="M135" s="494">
        <f>SUM(H135:L135)</f>
        <v>749531.34</v>
      </c>
      <c r="N135" s="322"/>
      <c r="O135" s="322"/>
      <c r="P135" s="322"/>
      <c r="Q135" s="322"/>
      <c r="R135" s="322"/>
      <c r="S135" s="322">
        <f>SUM(N135:R135)</f>
        <v>0</v>
      </c>
      <c r="T135" s="307"/>
      <c r="U135" s="307"/>
      <c r="V135" s="307"/>
      <c r="W135" s="307"/>
      <c r="X135" s="307"/>
      <c r="Y135" s="307"/>
      <c r="Z135" s="322">
        <v>746336.41</v>
      </c>
      <c r="AA135" s="322">
        <v>0</v>
      </c>
      <c r="AB135" s="322">
        <v>0</v>
      </c>
      <c r="AC135" s="322">
        <v>0</v>
      </c>
      <c r="AD135" s="322">
        <v>0</v>
      </c>
      <c r="AE135" s="322">
        <f>SUM(Z135:AD135)</f>
        <v>746336.41</v>
      </c>
      <c r="AP135" s="666" t="s">
        <v>1404</v>
      </c>
    </row>
    <row r="136" spans="1:42" ht="78.75">
      <c r="A136" t="s">
        <v>845</v>
      </c>
      <c r="B136" s="90">
        <v>2</v>
      </c>
      <c r="C136" s="178" t="s">
        <v>972</v>
      </c>
      <c r="D136" s="91" t="s">
        <v>74</v>
      </c>
      <c r="E136" s="92" t="s">
        <v>704</v>
      </c>
      <c r="F136" s="431" t="s">
        <v>1378</v>
      </c>
      <c r="G136" s="791" t="s">
        <v>1463</v>
      </c>
      <c r="H136" s="713">
        <f>3344868.82-15271.15+175136.84</f>
        <v>3504734.51</v>
      </c>
      <c r="I136" s="480">
        <v>0</v>
      </c>
      <c r="J136" s="480">
        <v>0</v>
      </c>
      <c r="K136" s="480">
        <v>0</v>
      </c>
      <c r="L136" s="480">
        <v>0</v>
      </c>
      <c r="M136" s="481">
        <f t="shared" ref="M136:M172" si="41">SUM(H136:L136)</f>
        <v>3504734.51</v>
      </c>
      <c r="N136" s="322">
        <f>424284.28+533113.41</f>
        <v>957397.69000000006</v>
      </c>
      <c r="O136" s="322"/>
      <c r="P136" s="322"/>
      <c r="Q136" s="322"/>
      <c r="R136" s="322"/>
      <c r="S136" s="322">
        <f>SUM(N136:R136)</f>
        <v>957397.69000000006</v>
      </c>
      <c r="T136" s="307">
        <f>+H136-N136</f>
        <v>2547336.8199999998</v>
      </c>
      <c r="U136" s="307"/>
      <c r="V136" s="307"/>
      <c r="W136" s="307"/>
      <c r="X136" s="307"/>
      <c r="Y136" s="307"/>
      <c r="Z136" s="322">
        <v>3329597.67</v>
      </c>
      <c r="AA136" s="322">
        <v>0</v>
      </c>
      <c r="AB136" s="322">
        <v>0</v>
      </c>
      <c r="AC136" s="322">
        <v>0</v>
      </c>
      <c r="AD136" s="322">
        <v>0</v>
      </c>
      <c r="AE136" s="709">
        <f>SUM(Z136:AD136)</f>
        <v>3329597.67</v>
      </c>
      <c r="AF136" s="710">
        <v>175136.84</v>
      </c>
      <c r="AP136" s="666" t="s">
        <v>1404</v>
      </c>
    </row>
    <row r="137" spans="1:42" ht="94.5">
      <c r="A137" t="s">
        <v>845</v>
      </c>
      <c r="B137" s="90">
        <v>3</v>
      </c>
      <c r="C137" s="247" t="s">
        <v>896</v>
      </c>
      <c r="D137" s="461" t="s">
        <v>938</v>
      </c>
      <c r="E137" s="92" t="s">
        <v>705</v>
      </c>
      <c r="F137" s="680" t="s">
        <v>1455</v>
      </c>
      <c r="G137" s="746"/>
      <c r="H137" s="714">
        <f>4290644.05-243493.06+616492</f>
        <v>4663642.99</v>
      </c>
      <c r="I137" s="480">
        <v>0</v>
      </c>
      <c r="J137" s="480">
        <v>0</v>
      </c>
      <c r="K137" s="480">
        <v>0</v>
      </c>
      <c r="L137" s="480">
        <v>0</v>
      </c>
      <c r="M137" s="481">
        <f t="shared" si="41"/>
        <v>4663642.99</v>
      </c>
      <c r="N137" s="322">
        <f>434859.41+80981.99</f>
        <v>515841.39999999997</v>
      </c>
      <c r="O137" s="322"/>
      <c r="P137" s="322"/>
      <c r="Q137" s="322"/>
      <c r="R137" s="322"/>
      <c r="S137" s="322">
        <f>SUM(N137:R137)</f>
        <v>515841.39999999997</v>
      </c>
      <c r="T137" s="322">
        <f>+H137-N137</f>
        <v>4147801.5900000003</v>
      </c>
      <c r="U137" s="307"/>
      <c r="V137" s="307"/>
      <c r="W137" s="307"/>
      <c r="X137" s="307"/>
      <c r="Y137" s="307"/>
      <c r="Z137" s="322">
        <v>4047150.99</v>
      </c>
      <c r="AA137" s="322">
        <v>0</v>
      </c>
      <c r="AB137" s="322">
        <v>0</v>
      </c>
      <c r="AC137" s="322">
        <v>0</v>
      </c>
      <c r="AD137" s="322">
        <v>0</v>
      </c>
      <c r="AE137" s="322">
        <f>SUM(Z137:AD137)</f>
        <v>4047150.99</v>
      </c>
      <c r="AF137" s="182">
        <f>H137-Z137</f>
        <v>616492</v>
      </c>
      <c r="AP137" s="666" t="s">
        <v>1404</v>
      </c>
    </row>
    <row r="138" spans="1:42" ht="45">
      <c r="B138" s="90">
        <v>4</v>
      </c>
      <c r="C138" s="247" t="s">
        <v>1071</v>
      </c>
      <c r="D138" s="461" t="s">
        <v>939</v>
      </c>
      <c r="E138" s="93" t="s">
        <v>706</v>
      </c>
      <c r="F138" s="270"/>
      <c r="G138" s="731"/>
      <c r="H138" s="265">
        <v>0</v>
      </c>
      <c r="I138" s="480">
        <v>0</v>
      </c>
      <c r="J138" s="480">
        <v>0</v>
      </c>
      <c r="K138" s="462">
        <v>99249.55</v>
      </c>
      <c r="L138" s="480">
        <v>0</v>
      </c>
      <c r="M138" s="481">
        <f t="shared" si="41"/>
        <v>99249.55</v>
      </c>
      <c r="N138" s="322"/>
      <c r="O138" s="322"/>
      <c r="P138" s="322"/>
      <c r="Q138" s="322"/>
      <c r="R138" s="322"/>
      <c r="S138" s="322">
        <f t="shared" ref="S138:S141" si="42">SUM(N138:R138)</f>
        <v>0</v>
      </c>
      <c r="T138" s="307"/>
      <c r="U138" s="307"/>
      <c r="V138" s="307"/>
      <c r="W138" s="307"/>
      <c r="X138" s="307"/>
      <c r="Y138" s="307"/>
      <c r="Z138" s="307"/>
      <c r="AA138" s="307"/>
      <c r="AB138" s="307"/>
      <c r="AC138" s="307"/>
      <c r="AD138" s="307"/>
      <c r="AE138" s="307"/>
      <c r="AP138" s="666"/>
    </row>
    <row r="139" spans="1:42" ht="45">
      <c r="B139" s="90">
        <v>5</v>
      </c>
      <c r="C139" s="247" t="s">
        <v>1072</v>
      </c>
      <c r="D139" s="461" t="s">
        <v>940</v>
      </c>
      <c r="E139" s="93" t="s">
        <v>706</v>
      </c>
      <c r="F139" s="270"/>
      <c r="G139" s="731"/>
      <c r="H139" s="265">
        <v>0</v>
      </c>
      <c r="I139" s="480">
        <v>0</v>
      </c>
      <c r="J139" s="480">
        <v>0</v>
      </c>
      <c r="K139" s="462">
        <v>213975.33</v>
      </c>
      <c r="L139" s="480">
        <v>0</v>
      </c>
      <c r="M139" s="481">
        <f t="shared" si="41"/>
        <v>213975.33</v>
      </c>
      <c r="N139" s="322"/>
      <c r="O139" s="322"/>
      <c r="P139" s="322"/>
      <c r="Q139" s="322">
        <v>181890.92</v>
      </c>
      <c r="R139" s="322"/>
      <c r="S139" s="322">
        <f t="shared" si="42"/>
        <v>181890.92</v>
      </c>
      <c r="T139" s="307"/>
      <c r="U139" s="307"/>
      <c r="V139" s="307"/>
      <c r="W139" s="307"/>
      <c r="X139" s="307"/>
      <c r="Y139" s="307"/>
      <c r="Z139" s="307"/>
      <c r="AA139" s="307"/>
      <c r="AB139" s="307"/>
      <c r="AC139" s="307"/>
      <c r="AD139" s="307"/>
      <c r="AE139" s="307"/>
      <c r="AP139" s="666"/>
    </row>
    <row r="140" spans="1:42" ht="37.5">
      <c r="B140" s="90">
        <v>6</v>
      </c>
      <c r="C140" s="247" t="s">
        <v>1073</v>
      </c>
      <c r="D140" s="461" t="s">
        <v>941</v>
      </c>
      <c r="E140" s="93" t="s">
        <v>707</v>
      </c>
      <c r="F140" s="270"/>
      <c r="G140" s="731"/>
      <c r="H140" s="265">
        <v>0</v>
      </c>
      <c r="I140" s="480">
        <v>0</v>
      </c>
      <c r="J140" s="480">
        <v>0</v>
      </c>
      <c r="K140" s="462">
        <v>408945</v>
      </c>
      <c r="L140" s="480">
        <v>0</v>
      </c>
      <c r="M140" s="481">
        <f t="shared" si="41"/>
        <v>408945</v>
      </c>
      <c r="N140" s="306"/>
      <c r="O140" s="306"/>
      <c r="P140" s="306"/>
      <c r="Q140" s="322">
        <v>363982</v>
      </c>
      <c r="R140" s="306"/>
      <c r="S140" s="322">
        <f t="shared" si="42"/>
        <v>363982</v>
      </c>
      <c r="T140" s="307"/>
      <c r="U140" s="307"/>
      <c r="V140" s="307"/>
      <c r="W140" s="307"/>
      <c r="X140" s="307"/>
      <c r="Y140" s="307"/>
      <c r="Z140" s="307"/>
      <c r="AA140" s="307"/>
      <c r="AB140" s="307"/>
      <c r="AC140" s="307"/>
      <c r="AD140" s="307"/>
      <c r="AE140" s="307"/>
      <c r="AP140" s="666"/>
    </row>
    <row r="141" spans="1:42" ht="78.75">
      <c r="B141" s="90">
        <v>7</v>
      </c>
      <c r="C141" s="455" t="s">
        <v>1217</v>
      </c>
      <c r="D141" s="461" t="s">
        <v>942</v>
      </c>
      <c r="E141" s="92" t="s">
        <v>60</v>
      </c>
      <c r="F141" s="431" t="s">
        <v>1476</v>
      </c>
      <c r="G141" s="791" t="s">
        <v>1477</v>
      </c>
      <c r="H141" s="715">
        <f>353001.82+12637.62</f>
        <v>365639.44</v>
      </c>
      <c r="I141" s="480">
        <v>0</v>
      </c>
      <c r="J141" s="480">
        <v>0</v>
      </c>
      <c r="K141" s="480">
        <v>0</v>
      </c>
      <c r="L141" s="480">
        <v>0</v>
      </c>
      <c r="M141" s="481">
        <f t="shared" si="41"/>
        <v>365639.44</v>
      </c>
      <c r="N141" s="322">
        <v>127438.46</v>
      </c>
      <c r="O141" s="306"/>
      <c r="P141" s="306"/>
      <c r="Q141" s="306"/>
      <c r="R141" s="306"/>
      <c r="S141" s="322">
        <f t="shared" si="42"/>
        <v>127438.46</v>
      </c>
      <c r="T141" s="322">
        <f>+H141-N141</f>
        <v>238200.97999999998</v>
      </c>
      <c r="U141" s="307"/>
      <c r="V141" s="307"/>
      <c r="W141" s="307"/>
      <c r="X141" s="307"/>
      <c r="Y141" s="307"/>
      <c r="Z141" s="322">
        <v>348377.63</v>
      </c>
      <c r="AA141" s="322">
        <v>0</v>
      </c>
      <c r="AB141" s="322">
        <v>0</v>
      </c>
      <c r="AC141" s="322">
        <v>0</v>
      </c>
      <c r="AD141" s="322">
        <v>0</v>
      </c>
      <c r="AE141" s="322">
        <f>SUM(Z141:AD141)</f>
        <v>348377.63</v>
      </c>
      <c r="AF141" s="703"/>
      <c r="AP141" s="666" t="s">
        <v>1404</v>
      </c>
    </row>
    <row r="142" spans="1:42" ht="45">
      <c r="B142" s="90">
        <v>8</v>
      </c>
      <c r="C142" s="247" t="s">
        <v>199</v>
      </c>
      <c r="D142" s="461" t="s">
        <v>943</v>
      </c>
      <c r="E142" s="93" t="s">
        <v>61</v>
      </c>
      <c r="F142" s="270"/>
      <c r="G142" s="731"/>
      <c r="H142" s="265">
        <v>0</v>
      </c>
      <c r="I142" s="480">
        <v>0</v>
      </c>
      <c r="J142" s="480">
        <v>0</v>
      </c>
      <c r="K142" s="462">
        <v>115204.33</v>
      </c>
      <c r="L142" s="480">
        <v>0</v>
      </c>
      <c r="M142" s="481">
        <f t="shared" si="41"/>
        <v>115204.33</v>
      </c>
      <c r="N142" s="306"/>
      <c r="O142" s="306"/>
      <c r="P142" s="306"/>
      <c r="Q142" s="306"/>
      <c r="R142" s="306"/>
      <c r="S142" s="306"/>
      <c r="T142" s="307"/>
      <c r="U142" s="307"/>
      <c r="V142" s="307"/>
      <c r="W142" s="307"/>
      <c r="X142" s="307"/>
      <c r="Y142" s="307"/>
      <c r="Z142" s="307"/>
      <c r="AA142" s="307"/>
      <c r="AB142" s="307"/>
      <c r="AC142" s="307"/>
      <c r="AD142" s="307"/>
      <c r="AE142" s="307"/>
      <c r="AP142" s="666"/>
    </row>
    <row r="143" spans="1:42" ht="45">
      <c r="B143" s="90">
        <v>9</v>
      </c>
      <c r="C143" s="247" t="s">
        <v>1074</v>
      </c>
      <c r="D143" s="461" t="s">
        <v>943</v>
      </c>
      <c r="E143" s="464" t="s">
        <v>992</v>
      </c>
      <c r="F143" s="270"/>
      <c r="G143" s="731"/>
      <c r="H143" s="265">
        <v>0</v>
      </c>
      <c r="I143" s="480">
        <v>0</v>
      </c>
      <c r="J143" s="480">
        <v>0</v>
      </c>
      <c r="K143" s="462">
        <v>37154.449999999997</v>
      </c>
      <c r="L143" s="480">
        <v>0</v>
      </c>
      <c r="M143" s="481">
        <f t="shared" si="41"/>
        <v>37154.449999999997</v>
      </c>
      <c r="N143" s="418"/>
      <c r="O143" s="418"/>
      <c r="P143" s="418"/>
      <c r="Q143" s="418"/>
      <c r="R143" s="418"/>
      <c r="S143" s="418"/>
      <c r="T143" s="307"/>
      <c r="U143" s="307"/>
      <c r="V143" s="307"/>
      <c r="W143" s="307"/>
      <c r="X143" s="307"/>
      <c r="Y143" s="307"/>
      <c r="Z143" s="307"/>
      <c r="AA143" s="307"/>
      <c r="AB143" s="307"/>
      <c r="AC143" s="307"/>
      <c r="AD143" s="307"/>
      <c r="AE143" s="307"/>
      <c r="AP143" s="666"/>
    </row>
    <row r="144" spans="1:42" ht="45">
      <c r="B144" s="90">
        <v>10</v>
      </c>
      <c r="C144" s="247" t="s">
        <v>909</v>
      </c>
      <c r="D144" s="461" t="s">
        <v>944</v>
      </c>
      <c r="E144" s="92" t="s">
        <v>62</v>
      </c>
      <c r="F144" s="270"/>
      <c r="G144" s="731"/>
      <c r="H144" s="265">
        <v>0</v>
      </c>
      <c r="I144" s="480">
        <v>0</v>
      </c>
      <c r="J144" s="480">
        <v>0</v>
      </c>
      <c r="K144" s="462">
        <v>74003.8</v>
      </c>
      <c r="L144" s="480">
        <v>0</v>
      </c>
      <c r="M144" s="481">
        <f t="shared" si="41"/>
        <v>74003.8</v>
      </c>
      <c r="N144" s="418"/>
      <c r="O144" s="418"/>
      <c r="P144" s="418"/>
      <c r="Q144" s="418"/>
      <c r="R144" s="418"/>
      <c r="S144" s="418"/>
      <c r="T144" s="307"/>
      <c r="U144" s="307"/>
      <c r="V144" s="307"/>
      <c r="W144" s="307"/>
      <c r="X144" s="307"/>
      <c r="Y144" s="307"/>
      <c r="Z144" s="307"/>
      <c r="AA144" s="307"/>
      <c r="AB144" s="307"/>
      <c r="AC144" s="307"/>
      <c r="AD144" s="307"/>
      <c r="AE144" s="307"/>
      <c r="AP144" s="666"/>
    </row>
    <row r="145" spans="1:42" ht="37.5">
      <c r="B145" s="90">
        <v>11</v>
      </c>
      <c r="C145" s="247" t="s">
        <v>1075</v>
      </c>
      <c r="D145" s="91" t="s">
        <v>63</v>
      </c>
      <c r="E145" s="93" t="s">
        <v>64</v>
      </c>
      <c r="F145" s="270"/>
      <c r="G145" s="731"/>
      <c r="H145" s="716">
        <v>720356.14</v>
      </c>
      <c r="I145" s="480">
        <v>0</v>
      </c>
      <c r="J145" s="480">
        <v>0</v>
      </c>
      <c r="K145" s="480">
        <v>0</v>
      </c>
      <c r="L145" s="480">
        <v>0</v>
      </c>
      <c r="M145" s="481">
        <f t="shared" si="41"/>
        <v>720356.14</v>
      </c>
      <c r="N145" s="322">
        <v>545678.86</v>
      </c>
      <c r="O145" s="418"/>
      <c r="P145" s="418"/>
      <c r="Q145" s="418"/>
      <c r="R145" s="418"/>
      <c r="S145" s="322">
        <f>SUM(N145:R145)</f>
        <v>545678.86</v>
      </c>
      <c r="T145" s="322">
        <f>+H145-N145</f>
        <v>174677.28000000003</v>
      </c>
      <c r="U145" s="307"/>
      <c r="V145" s="307"/>
      <c r="W145" s="307"/>
      <c r="X145" s="307"/>
      <c r="Y145" s="307"/>
      <c r="Z145" s="307"/>
      <c r="AA145" s="307"/>
      <c r="AB145" s="307"/>
      <c r="AC145" s="307"/>
      <c r="AD145" s="307"/>
      <c r="AE145" s="307"/>
      <c r="AP145" s="666"/>
    </row>
    <row r="146" spans="1:42" ht="60">
      <c r="B146" s="90">
        <v>12</v>
      </c>
      <c r="C146" s="247" t="s">
        <v>1076</v>
      </c>
      <c r="D146" s="459" t="s">
        <v>904</v>
      </c>
      <c r="E146" s="93" t="s">
        <v>707</v>
      </c>
      <c r="F146" s="270"/>
      <c r="G146" s="731"/>
      <c r="H146" s="716">
        <v>1372864.16</v>
      </c>
      <c r="I146" s="480">
        <v>0</v>
      </c>
      <c r="J146" s="480">
        <v>0</v>
      </c>
      <c r="K146" s="480">
        <v>0</v>
      </c>
      <c r="L146" s="480">
        <v>0</v>
      </c>
      <c r="M146" s="481">
        <f t="shared" si="41"/>
        <v>1372864.16</v>
      </c>
      <c r="N146" s="322">
        <v>411458.21</v>
      </c>
      <c r="O146" s="418"/>
      <c r="P146" s="418"/>
      <c r="Q146" s="418"/>
      <c r="R146" s="418"/>
      <c r="S146" s="322">
        <f>SUM(N146:R146)</f>
        <v>411458.21</v>
      </c>
      <c r="T146" s="307"/>
      <c r="U146" s="307"/>
      <c r="V146" s="307"/>
      <c r="W146" s="307"/>
      <c r="X146" s="307"/>
      <c r="Y146" s="307"/>
      <c r="Z146" s="307"/>
      <c r="AA146" s="307"/>
      <c r="AB146" s="307"/>
      <c r="AC146" s="307"/>
      <c r="AD146" s="307"/>
      <c r="AE146" s="307"/>
      <c r="AP146" s="666"/>
    </row>
    <row r="147" spans="1:42" ht="30">
      <c r="B147" s="90">
        <v>13</v>
      </c>
      <c r="C147" s="247" t="s">
        <v>1077</v>
      </c>
      <c r="D147" s="94" t="s">
        <v>75</v>
      </c>
      <c r="E147" s="92" t="s">
        <v>708</v>
      </c>
      <c r="F147" s="270"/>
      <c r="G147" s="731"/>
      <c r="H147" s="717">
        <f>0+308665.79</f>
        <v>308665.78999999998</v>
      </c>
      <c r="I147" s="480">
        <v>0</v>
      </c>
      <c r="J147" s="480">
        <v>0</v>
      </c>
      <c r="K147" s="494">
        <v>378184.78</v>
      </c>
      <c r="L147" s="480">
        <v>0</v>
      </c>
      <c r="M147" s="481">
        <f t="shared" si="41"/>
        <v>686850.57000000007</v>
      </c>
      <c r="N147" s="418"/>
      <c r="O147" s="418"/>
      <c r="P147" s="418"/>
      <c r="Q147" s="418"/>
      <c r="R147" s="418"/>
      <c r="S147" s="322">
        <f t="shared" ref="S147:S155" si="43">SUM(N147:R147)</f>
        <v>0</v>
      </c>
      <c r="T147" s="307"/>
      <c r="U147" s="307"/>
      <c r="V147" s="307"/>
      <c r="W147" s="307"/>
      <c r="X147" s="307"/>
      <c r="Y147" s="307"/>
      <c r="Z147" s="307"/>
      <c r="AA147" s="307"/>
      <c r="AB147" s="307"/>
      <c r="AC147" s="307"/>
      <c r="AD147" s="307"/>
      <c r="AE147" s="307"/>
      <c r="AP147" s="666"/>
    </row>
    <row r="148" spans="1:42" ht="30">
      <c r="A148" t="s">
        <v>29</v>
      </c>
      <c r="B148" s="473">
        <v>14</v>
      </c>
      <c r="C148" s="247" t="s">
        <v>1078</v>
      </c>
      <c r="D148" s="458" t="s">
        <v>905</v>
      </c>
      <c r="E148" s="463" t="s">
        <v>708</v>
      </c>
      <c r="F148" s="270"/>
      <c r="G148" s="731"/>
      <c r="H148" s="265">
        <v>0</v>
      </c>
      <c r="I148" s="480">
        <v>0</v>
      </c>
      <c r="J148" s="480">
        <v>0</v>
      </c>
      <c r="K148" s="494">
        <v>744898.87</v>
      </c>
      <c r="L148" s="480">
        <v>0</v>
      </c>
      <c r="M148" s="481">
        <f t="shared" si="41"/>
        <v>744898.87</v>
      </c>
      <c r="N148" s="306"/>
      <c r="O148" s="306"/>
      <c r="P148" s="306"/>
      <c r="Q148" s="322">
        <v>217872.92</v>
      </c>
      <c r="R148" s="306"/>
      <c r="S148" s="322">
        <f t="shared" si="43"/>
        <v>217872.92</v>
      </c>
      <c r="T148" s="307"/>
      <c r="U148" s="307"/>
      <c r="V148" s="307"/>
      <c r="W148" s="307"/>
      <c r="X148" s="307"/>
      <c r="Y148" s="307"/>
      <c r="Z148" s="307"/>
      <c r="AA148" s="307"/>
      <c r="AB148" s="307"/>
      <c r="AC148" s="307"/>
      <c r="AD148" s="307"/>
      <c r="AE148" s="307"/>
      <c r="AP148" s="666"/>
    </row>
    <row r="149" spans="1:42" ht="37.5">
      <c r="B149" s="473">
        <v>15</v>
      </c>
      <c r="C149" s="247" t="s">
        <v>1042</v>
      </c>
      <c r="D149" s="94" t="s">
        <v>76</v>
      </c>
      <c r="E149" s="93" t="s">
        <v>709</v>
      </c>
      <c r="F149" s="270"/>
      <c r="G149" s="731"/>
      <c r="H149" s="265">
        <v>0</v>
      </c>
      <c r="I149" s="480">
        <v>0</v>
      </c>
      <c r="J149" s="480">
        <v>0</v>
      </c>
      <c r="K149" s="494">
        <v>2727503.84</v>
      </c>
      <c r="L149" s="480">
        <v>0</v>
      </c>
      <c r="M149" s="481">
        <f t="shared" si="41"/>
        <v>2727503.84</v>
      </c>
      <c r="N149" s="306"/>
      <c r="O149" s="306"/>
      <c r="P149" s="306"/>
      <c r="Q149" s="306"/>
      <c r="R149" s="306"/>
      <c r="S149" s="322">
        <f t="shared" si="43"/>
        <v>0</v>
      </c>
      <c r="T149" s="307"/>
      <c r="U149" s="307"/>
      <c r="V149" s="307"/>
      <c r="W149" s="307"/>
      <c r="X149" s="307"/>
      <c r="Y149" s="307"/>
      <c r="Z149" s="307"/>
      <c r="AA149" s="307"/>
      <c r="AB149" s="307"/>
      <c r="AC149" s="307"/>
      <c r="AD149" s="307"/>
      <c r="AE149" s="307"/>
      <c r="AP149" s="666"/>
    </row>
    <row r="150" spans="1:42" ht="37.5">
      <c r="B150" s="473">
        <v>16</v>
      </c>
      <c r="C150" s="247" t="s">
        <v>1079</v>
      </c>
      <c r="D150" s="94" t="s">
        <v>76</v>
      </c>
      <c r="E150" s="92" t="s">
        <v>710</v>
      </c>
      <c r="F150" s="270"/>
      <c r="G150" s="731"/>
      <c r="H150" s="716">
        <v>1538388.83</v>
      </c>
      <c r="I150" s="480">
        <v>0</v>
      </c>
      <c r="J150" s="480">
        <v>0</v>
      </c>
      <c r="K150" s="480">
        <v>0</v>
      </c>
      <c r="L150" s="480">
        <v>0</v>
      </c>
      <c r="M150" s="481">
        <f t="shared" si="41"/>
        <v>1538388.83</v>
      </c>
      <c r="N150" s="322">
        <v>457637.53</v>
      </c>
      <c r="O150" s="306"/>
      <c r="P150" s="306"/>
      <c r="Q150" s="306"/>
      <c r="R150" s="306"/>
      <c r="S150" s="322">
        <f t="shared" si="43"/>
        <v>457637.53</v>
      </c>
      <c r="T150" s="307"/>
      <c r="U150" s="307"/>
      <c r="V150" s="307"/>
      <c r="W150" s="307"/>
      <c r="X150" s="307"/>
      <c r="Y150" s="307"/>
      <c r="Z150" s="307"/>
      <c r="AA150" s="307"/>
      <c r="AB150" s="307"/>
      <c r="AC150" s="307"/>
      <c r="AD150" s="307"/>
      <c r="AE150" s="307"/>
      <c r="AP150" s="666"/>
    </row>
    <row r="151" spans="1:42" ht="37.5">
      <c r="B151" s="90">
        <v>17</v>
      </c>
      <c r="C151" s="247" t="s">
        <v>1080</v>
      </c>
      <c r="D151" s="94" t="s">
        <v>76</v>
      </c>
      <c r="E151" s="93" t="s">
        <v>711</v>
      </c>
      <c r="F151" s="270"/>
      <c r="G151" s="533"/>
      <c r="H151" s="718">
        <v>430781.28</v>
      </c>
      <c r="I151" s="480">
        <v>0</v>
      </c>
      <c r="J151" s="480">
        <v>0</v>
      </c>
      <c r="K151" s="480">
        <v>0</v>
      </c>
      <c r="L151" s="480">
        <v>0</v>
      </c>
      <c r="M151" s="494">
        <f t="shared" si="41"/>
        <v>430781.28</v>
      </c>
      <c r="N151" s="322">
        <v>359255.33</v>
      </c>
      <c r="O151" s="306"/>
      <c r="P151" s="306"/>
      <c r="Q151" s="306"/>
      <c r="R151" s="306"/>
      <c r="S151" s="322">
        <f t="shared" si="43"/>
        <v>359255.33</v>
      </c>
      <c r="T151" s="307"/>
      <c r="U151" s="307"/>
      <c r="V151" s="307"/>
      <c r="W151" s="307"/>
      <c r="X151" s="307"/>
      <c r="Y151" s="307"/>
      <c r="Z151" s="307"/>
      <c r="AA151" s="307"/>
      <c r="AB151" s="307"/>
      <c r="AC151" s="307"/>
      <c r="AD151" s="307"/>
      <c r="AE151" s="307"/>
      <c r="AP151" s="666"/>
    </row>
    <row r="152" spans="1:42" ht="30">
      <c r="B152" s="90">
        <v>18</v>
      </c>
      <c r="C152" s="247" t="s">
        <v>1081</v>
      </c>
      <c r="D152" s="94" t="s">
        <v>75</v>
      </c>
      <c r="E152" s="93" t="s">
        <v>711</v>
      </c>
      <c r="F152" s="270"/>
      <c r="G152" s="731"/>
      <c r="H152" s="716">
        <v>300660.37</v>
      </c>
      <c r="I152" s="480">
        <v>0</v>
      </c>
      <c r="J152" s="480">
        <v>0</v>
      </c>
      <c r="K152" s="480">
        <v>0</v>
      </c>
      <c r="L152" s="480">
        <v>0</v>
      </c>
      <c r="M152" s="481">
        <f t="shared" si="41"/>
        <v>300660.37</v>
      </c>
      <c r="N152" s="322">
        <v>188510.43</v>
      </c>
      <c r="O152" s="306"/>
      <c r="P152" s="306"/>
      <c r="Q152" s="306"/>
      <c r="R152" s="306"/>
      <c r="S152" s="322">
        <f t="shared" si="43"/>
        <v>188510.43</v>
      </c>
      <c r="T152" s="307"/>
      <c r="U152" s="307"/>
      <c r="V152" s="307"/>
      <c r="W152" s="307"/>
      <c r="X152" s="307"/>
      <c r="Y152" s="307"/>
      <c r="Z152" s="307"/>
      <c r="AA152" s="307"/>
      <c r="AB152" s="307"/>
      <c r="AC152" s="307"/>
      <c r="AD152" s="307"/>
      <c r="AE152" s="307"/>
      <c r="AP152" s="666"/>
    </row>
    <row r="153" spans="1:42" ht="30">
      <c r="B153" s="90">
        <v>19</v>
      </c>
      <c r="C153" s="247" t="s">
        <v>1082</v>
      </c>
      <c r="D153" s="94" t="s">
        <v>75</v>
      </c>
      <c r="E153" s="93" t="s">
        <v>712</v>
      </c>
      <c r="F153" s="270"/>
      <c r="G153" s="731"/>
      <c r="H153" s="716">
        <v>307812.24</v>
      </c>
      <c r="I153" s="480">
        <v>0</v>
      </c>
      <c r="J153" s="480">
        <v>0</v>
      </c>
      <c r="K153" s="480">
        <v>0</v>
      </c>
      <c r="L153" s="480">
        <v>0</v>
      </c>
      <c r="M153" s="481">
        <f t="shared" si="41"/>
        <v>307812.24</v>
      </c>
      <c r="N153" s="322">
        <v>86742.2</v>
      </c>
      <c r="O153" s="306"/>
      <c r="P153" s="306"/>
      <c r="Q153" s="306"/>
      <c r="R153" s="306"/>
      <c r="S153" s="322">
        <f t="shared" si="43"/>
        <v>86742.2</v>
      </c>
      <c r="T153" s="307"/>
      <c r="U153" s="307"/>
      <c r="V153" s="307"/>
      <c r="W153" s="307"/>
      <c r="X153" s="307"/>
      <c r="Y153" s="307"/>
      <c r="Z153" s="307"/>
      <c r="AA153" s="307"/>
      <c r="AB153" s="307"/>
      <c r="AC153" s="307"/>
      <c r="AD153" s="307"/>
      <c r="AE153" s="307"/>
      <c r="AP153" s="666"/>
    </row>
    <row r="154" spans="1:42" ht="30" customHeight="1">
      <c r="B154" s="90">
        <v>20</v>
      </c>
      <c r="C154" s="247" t="s">
        <v>1083</v>
      </c>
      <c r="D154" s="94" t="s">
        <v>713</v>
      </c>
      <c r="E154" s="93" t="s">
        <v>712</v>
      </c>
      <c r="F154" s="270"/>
      <c r="G154" s="731"/>
      <c r="H154" s="716">
        <v>743509.83</v>
      </c>
      <c r="I154" s="480">
        <v>0</v>
      </c>
      <c r="J154" s="480">
        <v>0</v>
      </c>
      <c r="K154" s="480">
        <v>0</v>
      </c>
      <c r="L154" s="480">
        <v>0</v>
      </c>
      <c r="M154" s="481">
        <f t="shared" si="41"/>
        <v>743509.83</v>
      </c>
      <c r="N154" s="322">
        <v>220997.41</v>
      </c>
      <c r="O154" s="306"/>
      <c r="P154" s="306"/>
      <c r="Q154" s="306"/>
      <c r="R154" s="306"/>
      <c r="S154" s="322">
        <f t="shared" si="43"/>
        <v>220997.41</v>
      </c>
      <c r="T154" s="307"/>
      <c r="U154" s="307"/>
      <c r="V154" s="307"/>
      <c r="W154" s="307"/>
      <c r="X154" s="307"/>
      <c r="Y154" s="307"/>
      <c r="Z154" s="307"/>
      <c r="AA154" s="307"/>
      <c r="AB154" s="307"/>
      <c r="AC154" s="307"/>
      <c r="AD154" s="307"/>
      <c r="AE154" s="307"/>
      <c r="AP154" s="666"/>
    </row>
    <row r="155" spans="1:42" ht="37.5">
      <c r="B155" s="90">
        <v>21</v>
      </c>
      <c r="C155" s="247" t="s">
        <v>1412</v>
      </c>
      <c r="D155" s="94" t="s">
        <v>714</v>
      </c>
      <c r="E155" s="93" t="s">
        <v>715</v>
      </c>
      <c r="F155" s="270"/>
      <c r="G155" s="533"/>
      <c r="H155" s="718">
        <v>2051641.59</v>
      </c>
      <c r="I155" s="480">
        <v>0</v>
      </c>
      <c r="J155" s="480">
        <v>0</v>
      </c>
      <c r="K155" s="480">
        <v>0</v>
      </c>
      <c r="L155" s="480">
        <v>0</v>
      </c>
      <c r="M155" s="494">
        <f t="shared" si="41"/>
        <v>2051641.59</v>
      </c>
      <c r="N155" s="322">
        <v>1297382.03</v>
      </c>
      <c r="O155" s="306"/>
      <c r="P155" s="306"/>
      <c r="Q155" s="306"/>
      <c r="R155" s="306"/>
      <c r="S155" s="322">
        <f t="shared" si="43"/>
        <v>1297382.03</v>
      </c>
      <c r="T155" s="307"/>
      <c r="U155" s="307"/>
      <c r="V155" s="307"/>
      <c r="W155" s="307"/>
      <c r="X155" s="307"/>
      <c r="Y155" s="307"/>
      <c r="Z155" s="307"/>
      <c r="AA155" s="307"/>
      <c r="AB155" s="307"/>
      <c r="AC155" s="307"/>
      <c r="AD155" s="307"/>
      <c r="AE155" s="307"/>
      <c r="AP155" s="666"/>
    </row>
    <row r="156" spans="1:42" ht="71.25" customHeight="1">
      <c r="A156" t="s">
        <v>957</v>
      </c>
      <c r="B156" s="473">
        <v>22</v>
      </c>
      <c r="C156" s="247" t="s">
        <v>950</v>
      </c>
      <c r="D156" s="461" t="s">
        <v>1084</v>
      </c>
      <c r="E156" s="93" t="s">
        <v>85</v>
      </c>
      <c r="F156" s="270"/>
      <c r="G156" s="791" t="s">
        <v>1466</v>
      </c>
      <c r="H156" s="720">
        <f>1853673.63-93335.63-156091.75</f>
        <v>1604246.25</v>
      </c>
      <c r="I156" s="480">
        <v>0</v>
      </c>
      <c r="J156" s="480">
        <v>0</v>
      </c>
      <c r="K156" s="480">
        <v>0</v>
      </c>
      <c r="L156" s="480">
        <v>0</v>
      </c>
      <c r="M156" s="494">
        <f t="shared" si="41"/>
        <v>1604246.25</v>
      </c>
      <c r="N156" s="322">
        <f>335695.61+262331.92+835539.45+170679.27</f>
        <v>1604246.25</v>
      </c>
      <c r="O156" s="306"/>
      <c r="P156" s="306"/>
      <c r="Q156" s="306"/>
      <c r="R156" s="306"/>
      <c r="S156" s="322">
        <f>SUM(N156:R156)</f>
        <v>1604246.25</v>
      </c>
      <c r="T156" s="535">
        <f>+H156-N156</f>
        <v>0</v>
      </c>
      <c r="U156" s="307"/>
      <c r="V156" s="307"/>
      <c r="W156" s="307"/>
      <c r="X156" s="307"/>
      <c r="Y156" s="307"/>
      <c r="Z156" s="322">
        <v>1689600.51</v>
      </c>
      <c r="AA156" s="322">
        <v>0</v>
      </c>
      <c r="AB156" s="322">
        <v>0</v>
      </c>
      <c r="AC156" s="322">
        <v>0</v>
      </c>
      <c r="AD156" s="322">
        <v>0</v>
      </c>
      <c r="AE156" s="322">
        <f>SUM(Z156:AD156)</f>
        <v>1689600.51</v>
      </c>
      <c r="AF156" s="719">
        <v>156091.75</v>
      </c>
      <c r="AP156" s="666"/>
    </row>
    <row r="157" spans="1:42" ht="30">
      <c r="B157" s="473">
        <v>23</v>
      </c>
      <c r="C157" s="292" t="s">
        <v>1399</v>
      </c>
      <c r="D157" s="461" t="s">
        <v>906</v>
      </c>
      <c r="E157" s="464" t="s">
        <v>907</v>
      </c>
      <c r="F157" s="270"/>
      <c r="G157" s="731"/>
      <c r="H157" s="715">
        <v>417351.67999999999</v>
      </c>
      <c r="I157" s="480">
        <v>0</v>
      </c>
      <c r="J157" s="480">
        <v>0</v>
      </c>
      <c r="K157" s="480">
        <v>0</v>
      </c>
      <c r="L157" s="480">
        <v>0</v>
      </c>
      <c r="M157" s="494">
        <f t="shared" si="41"/>
        <v>417351.67999999999</v>
      </c>
      <c r="N157" s="322"/>
      <c r="O157" s="306"/>
      <c r="P157" s="306"/>
      <c r="Q157" s="306"/>
      <c r="R157" s="306"/>
      <c r="S157" s="306"/>
      <c r="T157" s="307"/>
      <c r="U157" s="307"/>
      <c r="V157" s="307"/>
      <c r="W157" s="307"/>
      <c r="X157" s="307"/>
      <c r="Y157" s="307"/>
      <c r="Z157" s="322">
        <v>347050.75</v>
      </c>
      <c r="AA157" s="322">
        <v>0</v>
      </c>
      <c r="AB157" s="322">
        <v>0</v>
      </c>
      <c r="AC157" s="322">
        <v>0</v>
      </c>
      <c r="AD157" s="322">
        <v>0</v>
      </c>
      <c r="AE157" s="322">
        <f>SUM(Z157:AD157)</f>
        <v>347050.75</v>
      </c>
      <c r="AF157" s="719">
        <f>H157-Z157</f>
        <v>70300.929999999993</v>
      </c>
      <c r="AP157" s="666" t="s">
        <v>1404</v>
      </c>
    </row>
    <row r="158" spans="1:42" ht="18.75">
      <c r="B158" s="84">
        <v>24</v>
      </c>
      <c r="C158" s="247" t="s">
        <v>245</v>
      </c>
      <c r="D158" s="95" t="s">
        <v>27</v>
      </c>
      <c r="E158" s="95"/>
      <c r="F158" s="270"/>
      <c r="G158" s="731"/>
      <c r="H158" s="265">
        <v>0</v>
      </c>
      <c r="I158" s="480">
        <v>0</v>
      </c>
      <c r="J158" s="72">
        <v>948238.2</v>
      </c>
      <c r="K158" s="480">
        <v>0</v>
      </c>
      <c r="L158" s="480">
        <v>0</v>
      </c>
      <c r="M158" s="494">
        <f t="shared" si="41"/>
        <v>948238.2</v>
      </c>
      <c r="N158" s="306"/>
      <c r="O158" s="306"/>
      <c r="P158" s="306"/>
      <c r="Q158" s="306"/>
      <c r="R158" s="306"/>
      <c r="S158" s="306"/>
      <c r="T158" s="307"/>
      <c r="U158" s="307"/>
      <c r="V158" s="307"/>
      <c r="W158" s="307"/>
      <c r="X158" s="307"/>
      <c r="Y158" s="307"/>
      <c r="Z158" s="307"/>
      <c r="AA158" s="307"/>
      <c r="AB158" s="307"/>
      <c r="AC158" s="307"/>
      <c r="AD158" s="307"/>
      <c r="AE158" s="307"/>
      <c r="AP158" s="666"/>
    </row>
    <row r="159" spans="1:42" ht="78.75">
      <c r="A159" t="s">
        <v>1141</v>
      </c>
      <c r="B159" s="70">
        <v>25</v>
      </c>
      <c r="C159" s="376" t="s">
        <v>1110</v>
      </c>
      <c r="D159" s="163" t="s">
        <v>1102</v>
      </c>
      <c r="E159" s="75"/>
      <c r="F159" s="531" t="s">
        <v>1377</v>
      </c>
      <c r="G159" s="747"/>
      <c r="H159" s="265">
        <v>0</v>
      </c>
      <c r="I159" s="7">
        <v>3800000</v>
      </c>
      <c r="J159" s="480">
        <v>0</v>
      </c>
      <c r="K159" s="494">
        <v>0</v>
      </c>
      <c r="L159" s="480">
        <v>0</v>
      </c>
      <c r="M159" s="481">
        <f t="shared" si="41"/>
        <v>3800000</v>
      </c>
      <c r="N159" s="306"/>
      <c r="O159" s="306"/>
      <c r="P159" s="306"/>
      <c r="Q159" s="306"/>
      <c r="R159" s="306"/>
      <c r="S159" s="306"/>
      <c r="T159" s="307"/>
      <c r="U159" s="307"/>
      <c r="V159" s="307"/>
      <c r="W159" s="307"/>
      <c r="X159" s="307"/>
      <c r="Y159" s="307"/>
      <c r="Z159" s="322">
        <v>0</v>
      </c>
      <c r="AA159" s="322">
        <f>3554309.15+245690.8</f>
        <v>3799999.9499999997</v>
      </c>
      <c r="AB159" s="322">
        <v>0</v>
      </c>
      <c r="AC159" s="322">
        <v>0</v>
      </c>
      <c r="AD159" s="322">
        <v>0</v>
      </c>
      <c r="AE159" s="322">
        <f t="shared" ref="AE159" si="44">SUM(Z159:AD159)</f>
        <v>3799999.9499999997</v>
      </c>
      <c r="AF159" s="440">
        <f>I159-AA159</f>
        <v>5.0000000279396772E-2</v>
      </c>
      <c r="AP159" s="666" t="s">
        <v>1406</v>
      </c>
    </row>
    <row r="160" spans="1:42" ht="18.75">
      <c r="B160" s="70">
        <v>26</v>
      </c>
      <c r="C160" s="247"/>
      <c r="D160" s="116" t="s">
        <v>716</v>
      </c>
      <c r="E160" s="75"/>
      <c r="F160" s="270"/>
      <c r="G160" s="533"/>
      <c r="H160" s="480">
        <v>0</v>
      </c>
      <c r="I160" s="480">
        <v>0</v>
      </c>
      <c r="J160" s="480">
        <v>0</v>
      </c>
      <c r="K160" s="480">
        <v>0</v>
      </c>
      <c r="L160" s="72">
        <f>23933800-2173549.98-2425241.52-745679.18-754461.63-726947.08-685537.33-14639951.23-1022864.39-759567.66</f>
        <v>2.5611370801925659E-9</v>
      </c>
      <c r="M160" s="481">
        <f t="shared" si="41"/>
        <v>2.5611370801925659E-9</v>
      </c>
      <c r="N160" s="322"/>
      <c r="O160" s="322"/>
      <c r="P160" s="322"/>
      <c r="Q160" s="322"/>
      <c r="R160" s="322"/>
      <c r="S160" s="322"/>
      <c r="T160" s="307"/>
      <c r="U160" s="307"/>
      <c r="V160" s="307"/>
      <c r="W160" s="307"/>
      <c r="X160" s="307"/>
      <c r="Y160" s="307"/>
      <c r="Z160" s="307"/>
      <c r="AA160" s="307"/>
      <c r="AB160" s="307"/>
      <c r="AC160" s="307"/>
      <c r="AD160" s="307"/>
      <c r="AE160" s="307"/>
      <c r="AP160" s="666"/>
    </row>
    <row r="161" spans="1:42" ht="37.5">
      <c r="B161" s="70">
        <v>26.1</v>
      </c>
      <c r="C161" s="247" t="s">
        <v>863</v>
      </c>
      <c r="D161" s="75" t="s">
        <v>756</v>
      </c>
      <c r="E161" s="75" t="s">
        <v>88</v>
      </c>
      <c r="F161" s="270"/>
      <c r="G161" s="533"/>
      <c r="H161" s="480">
        <v>0</v>
      </c>
      <c r="I161" s="480">
        <v>0</v>
      </c>
      <c r="J161" s="480">
        <v>0</v>
      </c>
      <c r="K161" s="480">
        <v>0</v>
      </c>
      <c r="L161" s="72">
        <v>2173549.9900000002</v>
      </c>
      <c r="M161" s="481">
        <f t="shared" si="41"/>
        <v>2173549.9900000002</v>
      </c>
      <c r="N161" s="322"/>
      <c r="O161" s="322"/>
      <c r="P161" s="322"/>
      <c r="Q161" s="322"/>
      <c r="R161" s="322">
        <f>523755.18+107159.61+489468.93</f>
        <v>1120383.72</v>
      </c>
      <c r="S161" s="322">
        <f>SUM(N161:R161)</f>
        <v>1120383.72</v>
      </c>
      <c r="T161" s="307"/>
      <c r="U161" s="307"/>
      <c r="V161" s="307"/>
      <c r="W161" s="307"/>
      <c r="X161" s="322">
        <f>+L161-R161</f>
        <v>1053166.2700000003</v>
      </c>
      <c r="Y161" s="322">
        <f>SUM(T161:X161)</f>
        <v>1053166.2700000003</v>
      </c>
      <c r="Z161" s="322">
        <v>0</v>
      </c>
      <c r="AA161" s="322">
        <v>0</v>
      </c>
      <c r="AB161" s="322">
        <v>0</v>
      </c>
      <c r="AC161" s="322">
        <v>0</v>
      </c>
      <c r="AD161" s="322">
        <v>1484379.57</v>
      </c>
      <c r="AE161" s="322">
        <f t="shared" ref="AE161:AE166" si="45">SUM(Z161:AD161)</f>
        <v>1484379.57</v>
      </c>
      <c r="AP161" s="666" t="s">
        <v>1407</v>
      </c>
    </row>
    <row r="162" spans="1:42" ht="78.75">
      <c r="B162" s="70">
        <v>26.2</v>
      </c>
      <c r="C162" s="247" t="s">
        <v>869</v>
      </c>
      <c r="D162" s="75" t="s">
        <v>757</v>
      </c>
      <c r="E162" s="75" t="s">
        <v>717</v>
      </c>
      <c r="F162" s="270" t="s">
        <v>1398</v>
      </c>
      <c r="G162" s="533"/>
      <c r="H162" s="480">
        <v>0</v>
      </c>
      <c r="I162" s="480">
        <v>0</v>
      </c>
      <c r="J162" s="480">
        <v>0</v>
      </c>
      <c r="K162" s="480">
        <v>0</v>
      </c>
      <c r="L162" s="72">
        <v>2425241.52</v>
      </c>
      <c r="M162" s="481">
        <f t="shared" si="41"/>
        <v>2425241.52</v>
      </c>
      <c r="N162" s="322"/>
      <c r="O162" s="322"/>
      <c r="P162" s="322"/>
      <c r="Q162" s="322"/>
      <c r="R162" s="322">
        <v>390534.27</v>
      </c>
      <c r="S162" s="322">
        <f>SUM(N162:R162)</f>
        <v>390534.27</v>
      </c>
      <c r="T162" s="307"/>
      <c r="U162" s="307"/>
      <c r="V162" s="307"/>
      <c r="W162" s="307"/>
      <c r="X162" s="322">
        <f>+L162-R162</f>
        <v>2034707.25</v>
      </c>
      <c r="Y162" s="322">
        <f>SUM(T162:X162)</f>
        <v>2034707.25</v>
      </c>
      <c r="Z162" s="322">
        <v>0</v>
      </c>
      <c r="AA162" s="322">
        <f>426624.21-43522.46</f>
        <v>383101.75</v>
      </c>
      <c r="AB162" s="322">
        <v>0</v>
      </c>
      <c r="AC162" s="322">
        <v>0</v>
      </c>
      <c r="AD162" s="322">
        <f>1786934.5+216922.58</f>
        <v>2003857.08</v>
      </c>
      <c r="AE162" s="322">
        <f t="shared" ref="AE162" si="46">SUM(Z162:AD162)</f>
        <v>2386958.83</v>
      </c>
      <c r="AF162" s="440">
        <f>L162-AD162</f>
        <v>421384.43999999994</v>
      </c>
      <c r="AP162" s="666" t="s">
        <v>1407</v>
      </c>
    </row>
    <row r="163" spans="1:42" ht="37.5">
      <c r="A163" t="s">
        <v>845</v>
      </c>
      <c r="B163" s="70">
        <v>26.3</v>
      </c>
      <c r="C163" s="376" t="s">
        <v>965</v>
      </c>
      <c r="D163" s="75" t="s">
        <v>79</v>
      </c>
      <c r="E163" s="75" t="s">
        <v>40</v>
      </c>
      <c r="F163" s="270"/>
      <c r="G163" s="533"/>
      <c r="H163" s="480">
        <v>0</v>
      </c>
      <c r="I163" s="480">
        <v>0</v>
      </c>
      <c r="J163" s="480">
        <v>0</v>
      </c>
      <c r="K163" s="480">
        <v>0</v>
      </c>
      <c r="L163" s="72">
        <v>745679.18</v>
      </c>
      <c r="M163" s="481">
        <f t="shared" si="41"/>
        <v>745679.18</v>
      </c>
      <c r="N163" s="322"/>
      <c r="O163" s="322"/>
      <c r="P163" s="322"/>
      <c r="Q163" s="322"/>
      <c r="R163" s="322"/>
      <c r="S163" s="322">
        <f t="shared" ref="S163:S172" si="47">SUM(N163:R163)</f>
        <v>0</v>
      </c>
      <c r="T163" s="307"/>
      <c r="U163" s="307"/>
      <c r="V163" s="307"/>
      <c r="W163" s="307"/>
      <c r="X163" s="322">
        <f t="shared" ref="X163:X165" si="48">+L163-R163</f>
        <v>745679.18</v>
      </c>
      <c r="Y163" s="322">
        <f t="shared" ref="Y163:Y172" si="49">SUM(T163:X163)</f>
        <v>745679.18</v>
      </c>
      <c r="Z163" s="322">
        <v>0</v>
      </c>
      <c r="AA163" s="322">
        <v>0</v>
      </c>
      <c r="AB163" s="322">
        <v>0</v>
      </c>
      <c r="AC163" s="322">
        <v>0</v>
      </c>
      <c r="AD163" s="322">
        <v>590200.88</v>
      </c>
      <c r="AE163" s="322">
        <f t="shared" si="45"/>
        <v>590200.88</v>
      </c>
      <c r="AF163" s="440">
        <f t="shared" ref="AF163:AF166" si="50">L163-AD163</f>
        <v>155478.30000000005</v>
      </c>
      <c r="AP163" s="666" t="s">
        <v>1404</v>
      </c>
    </row>
    <row r="164" spans="1:42" ht="63">
      <c r="B164" s="70">
        <v>26.4</v>
      </c>
      <c r="C164" s="247" t="s">
        <v>868</v>
      </c>
      <c r="D164" s="75" t="s">
        <v>80</v>
      </c>
      <c r="E164" s="75" t="s">
        <v>40</v>
      </c>
      <c r="F164" s="690" t="s">
        <v>1449</v>
      </c>
      <c r="G164" s="533"/>
      <c r="H164" s="480">
        <v>0</v>
      </c>
      <c r="I164" s="480">
        <v>0</v>
      </c>
      <c r="J164" s="480">
        <v>0</v>
      </c>
      <c r="K164" s="480">
        <v>0</v>
      </c>
      <c r="L164" s="72">
        <v>754461.63</v>
      </c>
      <c r="M164" s="481">
        <f t="shared" si="41"/>
        <v>754461.63</v>
      </c>
      <c r="N164" s="322"/>
      <c r="O164" s="322"/>
      <c r="P164" s="322"/>
      <c r="Q164" s="322"/>
      <c r="R164" s="322">
        <f>151293.28+31712.09+263653.12</f>
        <v>446658.49</v>
      </c>
      <c r="S164" s="322">
        <f t="shared" si="47"/>
        <v>446658.49</v>
      </c>
      <c r="T164" s="307"/>
      <c r="U164" s="307"/>
      <c r="V164" s="307"/>
      <c r="W164" s="307"/>
      <c r="X164" s="322">
        <f t="shared" si="48"/>
        <v>307803.14</v>
      </c>
      <c r="Y164" s="322">
        <f t="shared" si="49"/>
        <v>307803.14</v>
      </c>
      <c r="Z164" s="322">
        <v>0</v>
      </c>
      <c r="AA164" s="322">
        <v>0</v>
      </c>
      <c r="AB164" s="322">
        <v>0</v>
      </c>
      <c r="AC164" s="322">
        <v>0</v>
      </c>
      <c r="AD164" s="322">
        <f>526355.86-39560.84</f>
        <v>486795.02</v>
      </c>
      <c r="AE164" s="322">
        <f t="shared" si="45"/>
        <v>486795.02</v>
      </c>
      <c r="AF164" s="440">
        <f t="shared" si="50"/>
        <v>267666.61</v>
      </c>
      <c r="AP164" s="666" t="s">
        <v>1407</v>
      </c>
    </row>
    <row r="165" spans="1:42" ht="63">
      <c r="B165" s="70">
        <v>26.5</v>
      </c>
      <c r="C165" s="247" t="s">
        <v>866</v>
      </c>
      <c r="D165" s="75" t="s">
        <v>81</v>
      </c>
      <c r="E165" s="75" t="s">
        <v>40</v>
      </c>
      <c r="F165" s="690" t="s">
        <v>1450</v>
      </c>
      <c r="G165" s="533"/>
      <c r="H165" s="480">
        <v>0</v>
      </c>
      <c r="I165" s="480">
        <v>0</v>
      </c>
      <c r="J165" s="480">
        <v>0</v>
      </c>
      <c r="K165" s="480">
        <v>0</v>
      </c>
      <c r="L165" s="72">
        <v>726947.08</v>
      </c>
      <c r="M165" s="481">
        <f t="shared" si="41"/>
        <v>726947.08</v>
      </c>
      <c r="N165" s="322"/>
      <c r="O165" s="322"/>
      <c r="P165" s="322"/>
      <c r="Q165" s="322"/>
      <c r="R165" s="322">
        <f>135380.89+31010.08+262140.12</f>
        <v>428531.09</v>
      </c>
      <c r="S165" s="322">
        <f t="shared" si="47"/>
        <v>428531.09</v>
      </c>
      <c r="T165" s="307"/>
      <c r="U165" s="307"/>
      <c r="V165" s="307"/>
      <c r="W165" s="307"/>
      <c r="X165" s="322">
        <f t="shared" si="48"/>
        <v>298415.98999999993</v>
      </c>
      <c r="Y165" s="322">
        <f t="shared" si="49"/>
        <v>298415.98999999993</v>
      </c>
      <c r="Z165" s="322">
        <v>0</v>
      </c>
      <c r="AA165" s="322">
        <v>0</v>
      </c>
      <c r="AB165" s="322">
        <v>0</v>
      </c>
      <c r="AC165" s="322">
        <v>0</v>
      </c>
      <c r="AD165" s="322">
        <f>498299.89-32720.22</f>
        <v>465579.67000000004</v>
      </c>
      <c r="AE165" s="322">
        <f t="shared" si="45"/>
        <v>465579.67000000004</v>
      </c>
      <c r="AF165" s="440">
        <f t="shared" si="50"/>
        <v>261367.40999999992</v>
      </c>
      <c r="AP165" s="666" t="s">
        <v>1407</v>
      </c>
    </row>
    <row r="166" spans="1:42" ht="37.5">
      <c r="A166" t="s">
        <v>845</v>
      </c>
      <c r="B166" s="70">
        <v>26.6</v>
      </c>
      <c r="C166" s="376" t="s">
        <v>964</v>
      </c>
      <c r="D166" s="75" t="s">
        <v>82</v>
      </c>
      <c r="E166" s="75" t="s">
        <v>40</v>
      </c>
      <c r="F166" s="270"/>
      <c r="G166" s="533"/>
      <c r="H166" s="480">
        <v>0</v>
      </c>
      <c r="I166" s="480">
        <v>0</v>
      </c>
      <c r="J166" s="480">
        <v>0</v>
      </c>
      <c r="K166" s="480">
        <v>0</v>
      </c>
      <c r="L166" s="72">
        <v>685537.33</v>
      </c>
      <c r="M166" s="481">
        <f t="shared" si="41"/>
        <v>685537.33</v>
      </c>
      <c r="N166" s="306"/>
      <c r="O166" s="306"/>
      <c r="P166" s="306"/>
      <c r="Q166" s="306"/>
      <c r="R166" s="306">
        <v>0</v>
      </c>
      <c r="S166" s="322">
        <f t="shared" si="47"/>
        <v>0</v>
      </c>
      <c r="T166" s="307"/>
      <c r="U166" s="307"/>
      <c r="V166" s="307"/>
      <c r="W166" s="307"/>
      <c r="X166" s="322">
        <f>+L166-R166</f>
        <v>685537.33</v>
      </c>
      <c r="Y166" s="322">
        <f t="shared" si="49"/>
        <v>685537.33</v>
      </c>
      <c r="Z166" s="322">
        <v>0</v>
      </c>
      <c r="AA166" s="322">
        <v>0</v>
      </c>
      <c r="AB166" s="322">
        <v>0</v>
      </c>
      <c r="AC166" s="322">
        <v>0</v>
      </c>
      <c r="AD166" s="322">
        <v>557170.18000000005</v>
      </c>
      <c r="AE166" s="322">
        <f t="shared" si="45"/>
        <v>557170.18000000005</v>
      </c>
      <c r="AF166" s="440">
        <f t="shared" si="50"/>
        <v>128367.14999999991</v>
      </c>
      <c r="AP166" s="666" t="s">
        <v>1404</v>
      </c>
    </row>
    <row r="167" spans="1:42" ht="37.5">
      <c r="B167" s="70">
        <v>26.7</v>
      </c>
      <c r="C167" s="247" t="s">
        <v>864</v>
      </c>
      <c r="D167" s="75" t="s">
        <v>83</v>
      </c>
      <c r="E167" s="75" t="s">
        <v>718</v>
      </c>
      <c r="F167" s="270"/>
      <c r="G167" s="533"/>
      <c r="H167" s="480">
        <v>0</v>
      </c>
      <c r="I167" s="480">
        <v>0</v>
      </c>
      <c r="J167" s="480">
        <v>0</v>
      </c>
      <c r="K167" s="480">
        <v>0</v>
      </c>
      <c r="L167" s="72">
        <v>1022864.39</v>
      </c>
      <c r="M167" s="494">
        <f t="shared" si="41"/>
        <v>1022864.39</v>
      </c>
      <c r="N167" s="322"/>
      <c r="O167" s="322"/>
      <c r="P167" s="322"/>
      <c r="Q167" s="322"/>
      <c r="R167" s="322">
        <f>56425.68+82798.87+415053.05</f>
        <v>554277.6</v>
      </c>
      <c r="S167" s="322">
        <f t="shared" si="47"/>
        <v>554277.6</v>
      </c>
      <c r="T167" s="307"/>
      <c r="U167" s="307"/>
      <c r="V167" s="307"/>
      <c r="W167" s="307"/>
      <c r="X167" s="322">
        <f>+L167-R167</f>
        <v>468586.79000000004</v>
      </c>
      <c r="Y167" s="322">
        <f t="shared" si="49"/>
        <v>468586.79000000004</v>
      </c>
      <c r="Z167" s="322">
        <v>0</v>
      </c>
      <c r="AA167" s="322">
        <v>0</v>
      </c>
      <c r="AB167" s="322">
        <v>0</v>
      </c>
      <c r="AC167" s="322">
        <v>0</v>
      </c>
      <c r="AD167" s="322">
        <v>713224.19</v>
      </c>
      <c r="AE167" s="322">
        <f>SUM(Z167:AD167)</f>
        <v>713224.19</v>
      </c>
      <c r="AP167" s="666" t="s">
        <v>1407</v>
      </c>
    </row>
    <row r="168" spans="1:42" ht="37.5">
      <c r="B168" s="115">
        <v>26.8</v>
      </c>
      <c r="C168" s="247" t="s">
        <v>867</v>
      </c>
      <c r="D168" s="94" t="s">
        <v>84</v>
      </c>
      <c r="E168" s="94" t="s">
        <v>719</v>
      </c>
      <c r="F168" s="270"/>
      <c r="G168" s="533"/>
      <c r="H168" s="480">
        <v>0</v>
      </c>
      <c r="I168" s="480">
        <v>0</v>
      </c>
      <c r="J168" s="480">
        <v>0</v>
      </c>
      <c r="K168" s="480">
        <v>0</v>
      </c>
      <c r="L168" s="72">
        <v>759567.66</v>
      </c>
      <c r="M168" s="481">
        <f t="shared" si="41"/>
        <v>759567.66</v>
      </c>
      <c r="N168" s="322"/>
      <c r="O168" s="322"/>
      <c r="P168" s="322"/>
      <c r="Q168" s="322"/>
      <c r="R168" s="322">
        <f>104850.59+67736.85+304009.06</f>
        <v>476596.5</v>
      </c>
      <c r="S168" s="322">
        <f t="shared" si="47"/>
        <v>476596.5</v>
      </c>
      <c r="T168" s="307"/>
      <c r="U168" s="307"/>
      <c r="V168" s="307"/>
      <c r="W168" s="307"/>
      <c r="X168" s="322">
        <f>+L168-R168</f>
        <v>282971.16000000003</v>
      </c>
      <c r="Y168" s="322">
        <f t="shared" si="49"/>
        <v>282971.16000000003</v>
      </c>
      <c r="Z168" s="322">
        <v>0</v>
      </c>
      <c r="AA168" s="322">
        <v>0</v>
      </c>
      <c r="AB168" s="322">
        <v>0</v>
      </c>
      <c r="AC168" s="322">
        <v>0</v>
      </c>
      <c r="AD168" s="322">
        <v>532235.04</v>
      </c>
      <c r="AE168" s="322">
        <f>SUM(Z168:AD168)</f>
        <v>532235.04</v>
      </c>
      <c r="AP168" s="666" t="s">
        <v>1407</v>
      </c>
    </row>
    <row r="169" spans="1:42" ht="37.5">
      <c r="B169" s="479">
        <v>26.9</v>
      </c>
      <c r="C169" s="247"/>
      <c r="D169" s="240" t="s">
        <v>720</v>
      </c>
      <c r="E169" s="240"/>
      <c r="F169" s="270"/>
      <c r="G169" s="731"/>
      <c r="H169" s="265">
        <v>0</v>
      </c>
      <c r="I169" s="265">
        <v>0</v>
      </c>
      <c r="J169" s="265">
        <v>0</v>
      </c>
      <c r="K169" s="265">
        <v>0</v>
      </c>
      <c r="L169" s="267">
        <v>266199.99</v>
      </c>
      <c r="M169" s="481">
        <f>SUM(H169:L169)</f>
        <v>266199.99</v>
      </c>
      <c r="N169" s="322"/>
      <c r="O169" s="322"/>
      <c r="P169" s="322"/>
      <c r="Q169" s="322"/>
      <c r="R169" s="322"/>
      <c r="S169" s="322">
        <f t="shared" si="47"/>
        <v>0</v>
      </c>
      <c r="T169" s="307"/>
      <c r="U169" s="307"/>
      <c r="V169" s="307"/>
      <c r="W169" s="307"/>
      <c r="X169" s="307"/>
      <c r="Y169" s="322">
        <f t="shared" si="49"/>
        <v>0</v>
      </c>
      <c r="Z169" s="307"/>
      <c r="AA169" s="307"/>
      <c r="AB169" s="307"/>
      <c r="AC169" s="307"/>
      <c r="AD169" s="307"/>
      <c r="AE169" s="307"/>
      <c r="AP169" s="666"/>
    </row>
    <row r="170" spans="1:42" ht="75">
      <c r="B170" s="479">
        <v>27</v>
      </c>
      <c r="C170" s="247"/>
      <c r="D170" s="240" t="s">
        <v>721</v>
      </c>
      <c r="E170" s="240" t="s">
        <v>722</v>
      </c>
      <c r="F170" s="270"/>
      <c r="G170" s="731"/>
      <c r="H170" s="265">
        <v>0</v>
      </c>
      <c r="I170" s="265">
        <v>0</v>
      </c>
      <c r="J170" s="265">
        <v>0</v>
      </c>
      <c r="K170" s="265">
        <v>0</v>
      </c>
      <c r="L170" s="267">
        <v>4879983.74</v>
      </c>
      <c r="M170" s="481">
        <f t="shared" si="41"/>
        <v>4879983.74</v>
      </c>
      <c r="N170" s="322"/>
      <c r="O170" s="322"/>
      <c r="P170" s="322"/>
      <c r="Q170" s="322"/>
      <c r="R170" s="322"/>
      <c r="S170" s="322">
        <f t="shared" si="47"/>
        <v>0</v>
      </c>
      <c r="T170" s="307"/>
      <c r="U170" s="307"/>
      <c r="V170" s="307"/>
      <c r="W170" s="307"/>
      <c r="X170" s="307"/>
      <c r="Y170" s="322">
        <f t="shared" si="49"/>
        <v>0</v>
      </c>
      <c r="Z170" s="307"/>
      <c r="AA170" s="307"/>
      <c r="AB170" s="307"/>
      <c r="AC170" s="307"/>
      <c r="AD170" s="307"/>
      <c r="AE170" s="307"/>
      <c r="AP170" s="666"/>
    </row>
    <row r="171" spans="1:42" ht="75">
      <c r="B171" s="115">
        <v>28</v>
      </c>
      <c r="C171" s="247"/>
      <c r="D171" s="94" t="s">
        <v>1128</v>
      </c>
      <c r="E171" s="94" t="s">
        <v>722</v>
      </c>
      <c r="F171" s="531"/>
      <c r="G171" s="737"/>
      <c r="H171" s="480">
        <v>0</v>
      </c>
      <c r="I171" s="480">
        <v>0</v>
      </c>
      <c r="J171" s="480">
        <v>0</v>
      </c>
      <c r="K171" s="480">
        <v>0</v>
      </c>
      <c r="L171" s="82">
        <v>9759967.4900000002</v>
      </c>
      <c r="M171" s="494">
        <f t="shared" si="41"/>
        <v>9759967.4900000002</v>
      </c>
      <c r="N171" s="322"/>
      <c r="O171" s="322"/>
      <c r="P171" s="322"/>
      <c r="Q171" s="322"/>
      <c r="R171" s="322"/>
      <c r="S171" s="322">
        <f t="shared" si="47"/>
        <v>0</v>
      </c>
      <c r="T171" s="307"/>
      <c r="U171" s="307"/>
      <c r="V171" s="307"/>
      <c r="W171" s="307"/>
      <c r="X171" s="307"/>
      <c r="Y171" s="322">
        <f t="shared" si="49"/>
        <v>0</v>
      </c>
      <c r="Z171" s="307"/>
      <c r="AA171" s="307"/>
      <c r="AB171" s="307"/>
      <c r="AC171" s="307"/>
      <c r="AD171" s="307"/>
      <c r="AE171" s="307"/>
      <c r="AP171" s="666"/>
    </row>
    <row r="172" spans="1:42" ht="37.5">
      <c r="B172" s="479">
        <v>29</v>
      </c>
      <c r="C172" s="247" t="s">
        <v>1221</v>
      </c>
      <c r="D172" s="94" t="s">
        <v>1129</v>
      </c>
      <c r="E172" s="240"/>
      <c r="F172" s="648"/>
      <c r="G172" s="181"/>
      <c r="H172" s="480">
        <v>0</v>
      </c>
      <c r="I172" s="480">
        <v>0</v>
      </c>
      <c r="J172" s="82">
        <v>3797428</v>
      </c>
      <c r="K172" s="480">
        <v>0</v>
      </c>
      <c r="L172" s="82">
        <v>3797428</v>
      </c>
      <c r="M172" s="494">
        <f t="shared" si="41"/>
        <v>7594856</v>
      </c>
      <c r="N172" s="306"/>
      <c r="O172" s="306"/>
      <c r="P172" s="322">
        <f>855270.81+887776.19+1009132.07+381779.62+663469.31</f>
        <v>3797428</v>
      </c>
      <c r="Q172" s="306"/>
      <c r="R172" s="322">
        <f>855270.8+887776.19+1009132.08+381779.62+663469.31</f>
        <v>3797428</v>
      </c>
      <c r="S172" s="322">
        <f t="shared" si="47"/>
        <v>7594856</v>
      </c>
      <c r="T172" s="307"/>
      <c r="U172" s="307"/>
      <c r="V172" s="535">
        <f>+J172-P172</f>
        <v>0</v>
      </c>
      <c r="W172" s="322"/>
      <c r="X172" s="535">
        <f>+L172-R172</f>
        <v>0</v>
      </c>
      <c r="Y172" s="322">
        <f t="shared" si="49"/>
        <v>0</v>
      </c>
      <c r="Z172" s="322">
        <v>0</v>
      </c>
      <c r="AA172" s="322">
        <v>0</v>
      </c>
      <c r="AB172" s="322">
        <f>3349713.99+447714.01</f>
        <v>3797428</v>
      </c>
      <c r="AC172" s="322">
        <f>3349713.98+447714.02</f>
        <v>3797428</v>
      </c>
      <c r="AD172" s="322">
        <v>0</v>
      </c>
      <c r="AE172" s="322">
        <f>SUM(Z172:AD172)</f>
        <v>7594856</v>
      </c>
      <c r="AF172" s="647">
        <f>J172-AB172</f>
        <v>0</v>
      </c>
      <c r="AG172" s="647">
        <f>L172-AC172</f>
        <v>0</v>
      </c>
      <c r="AH172" s="585"/>
      <c r="AI172" s="647">
        <f>SUM(AF172:AG172)</f>
        <v>0</v>
      </c>
      <c r="AP172" s="666" t="s">
        <v>1407</v>
      </c>
    </row>
    <row r="173" spans="1:42" ht="75">
      <c r="B173" s="479"/>
      <c r="C173" s="247" t="s">
        <v>1342</v>
      </c>
      <c r="D173" s="94" t="s">
        <v>1482</v>
      </c>
      <c r="E173" s="240"/>
      <c r="F173" s="270" t="s">
        <v>1483</v>
      </c>
      <c r="G173" s="791" t="s">
        <v>1500</v>
      </c>
      <c r="H173" s="265"/>
      <c r="I173" s="265">
        <f>0+287616.01</f>
        <v>287616.01</v>
      </c>
      <c r="J173" s="265"/>
      <c r="K173" s="265"/>
      <c r="L173" s="267"/>
      <c r="M173" s="481"/>
      <c r="N173" s="371"/>
      <c r="O173" s="371"/>
      <c r="P173" s="371"/>
      <c r="Q173" s="371"/>
      <c r="R173" s="371"/>
      <c r="S173" s="371"/>
      <c r="T173" s="372"/>
      <c r="U173" s="372"/>
      <c r="V173" s="372"/>
      <c r="W173" s="372"/>
      <c r="X173" s="372"/>
      <c r="Y173" s="372"/>
      <c r="Z173" s="372"/>
      <c r="AA173" s="466">
        <v>0</v>
      </c>
      <c r="AB173" s="372"/>
      <c r="AC173" s="372"/>
      <c r="AD173" s="372"/>
      <c r="AE173" s="372"/>
      <c r="AF173" s="805">
        <v>287616.01</v>
      </c>
      <c r="AP173" s="666"/>
    </row>
    <row r="174" spans="1:42" ht="16.5" thickBot="1">
      <c r="B174" s="22"/>
      <c r="C174" s="247"/>
      <c r="D174" s="249" t="s">
        <v>6</v>
      </c>
      <c r="E174" s="22"/>
      <c r="F174" s="448"/>
      <c r="G174" s="790"/>
      <c r="H174" s="264">
        <f t="shared" ref="H174:AE174" si="51">SUM(H135:H172)</f>
        <v>19079826.439999998</v>
      </c>
      <c r="I174" s="264">
        <f>SUM(I135:I173)</f>
        <v>4087616.01</v>
      </c>
      <c r="J174" s="264">
        <f t="shared" si="51"/>
        <v>4745666.2</v>
      </c>
      <c r="K174" s="264">
        <f t="shared" si="51"/>
        <v>4799119.9499999993</v>
      </c>
      <c r="L174" s="264">
        <f t="shared" si="51"/>
        <v>27997428.000000004</v>
      </c>
      <c r="M174" s="264">
        <f t="shared" si="51"/>
        <v>60422040.590000004</v>
      </c>
      <c r="N174" s="264">
        <f t="shared" si="51"/>
        <v>6772585.8000000007</v>
      </c>
      <c r="O174" s="264">
        <f t="shared" si="51"/>
        <v>0</v>
      </c>
      <c r="P174" s="264">
        <f t="shared" si="51"/>
        <v>3797428</v>
      </c>
      <c r="Q174" s="264">
        <f t="shared" si="51"/>
        <v>763745.84000000008</v>
      </c>
      <c r="R174" s="264">
        <f t="shared" si="51"/>
        <v>7214409.6699999999</v>
      </c>
      <c r="S174" s="264">
        <f t="shared" si="51"/>
        <v>18548169.310000002</v>
      </c>
      <c r="T174" s="264">
        <f t="shared" si="51"/>
        <v>7108016.6700000009</v>
      </c>
      <c r="U174" s="264">
        <f t="shared" si="51"/>
        <v>0</v>
      </c>
      <c r="V174" s="264">
        <f t="shared" si="51"/>
        <v>0</v>
      </c>
      <c r="W174" s="264">
        <f t="shared" si="51"/>
        <v>0</v>
      </c>
      <c r="X174" s="264">
        <f t="shared" si="51"/>
        <v>5876867.1100000013</v>
      </c>
      <c r="Y174" s="264">
        <f t="shared" si="51"/>
        <v>5876867.1100000013</v>
      </c>
      <c r="Z174" s="264">
        <f t="shared" si="51"/>
        <v>10508113.960000001</v>
      </c>
      <c r="AA174" s="264">
        <f>SUM(AA135:AA173)</f>
        <v>4183101.6999999997</v>
      </c>
      <c r="AB174" s="264">
        <f t="shared" si="51"/>
        <v>3797428</v>
      </c>
      <c r="AC174" s="264">
        <f t="shared" si="51"/>
        <v>3797428</v>
      </c>
      <c r="AD174" s="264">
        <f t="shared" si="51"/>
        <v>6833441.6299999999</v>
      </c>
      <c r="AE174" s="264">
        <f t="shared" si="51"/>
        <v>29119513.290000003</v>
      </c>
      <c r="AP174" s="666"/>
    </row>
    <row r="175" spans="1:42" ht="15.75">
      <c r="B175" s="45"/>
      <c r="C175" s="227"/>
      <c r="D175" s="253"/>
      <c r="E175" s="47"/>
      <c r="F175" s="449"/>
      <c r="G175" s="592"/>
      <c r="H175" s="37"/>
      <c r="I175" s="37"/>
      <c r="J175" s="37"/>
      <c r="K175" s="37"/>
      <c r="L175" s="37"/>
      <c r="M175" s="44"/>
      <c r="N175" s="230"/>
      <c r="O175" s="230"/>
      <c r="P175" s="230"/>
      <c r="Q175" s="230"/>
      <c r="R175" s="230"/>
      <c r="S175" s="230"/>
      <c r="T175" s="231"/>
      <c r="U175" s="231"/>
      <c r="V175" s="231"/>
      <c r="W175" s="231"/>
      <c r="X175" s="231"/>
      <c r="Y175" s="231"/>
      <c r="Z175" s="231"/>
      <c r="AA175" s="231"/>
      <c r="AB175" s="231"/>
      <c r="AC175" s="231"/>
      <c r="AD175" s="231"/>
      <c r="AE175" s="231"/>
      <c r="AP175" s="666"/>
    </row>
    <row r="176" spans="1:42" ht="15.75">
      <c r="B176" s="45"/>
      <c r="C176" s="227"/>
      <c r="D176" s="253"/>
      <c r="E176" s="47"/>
      <c r="F176" s="228"/>
      <c r="G176" s="592"/>
      <c r="H176" s="37"/>
      <c r="I176" s="37"/>
      <c r="J176" s="37"/>
      <c r="K176" s="37"/>
      <c r="L176" s="37"/>
      <c r="M176" s="44"/>
      <c r="N176" s="230"/>
      <c r="O176" s="230"/>
      <c r="P176" s="230"/>
      <c r="Q176" s="230"/>
      <c r="R176" s="230"/>
      <c r="S176" s="230"/>
      <c r="T176" s="231"/>
      <c r="U176" s="231"/>
      <c r="V176" s="231"/>
      <c r="W176" s="231"/>
      <c r="X176" s="231"/>
      <c r="Y176" s="231"/>
      <c r="Z176" s="231"/>
      <c r="AA176" s="231"/>
      <c r="AB176" s="231"/>
      <c r="AC176" s="231"/>
      <c r="AD176" s="231"/>
      <c r="AE176" s="231"/>
      <c r="AP176" s="666"/>
    </row>
    <row r="177" spans="1:45" ht="18.75">
      <c r="B177" s="100"/>
      <c r="C177" s="271"/>
      <c r="D177" s="102" t="s">
        <v>28</v>
      </c>
      <c r="E177" s="98"/>
      <c r="F177" s="272"/>
      <c r="G177" s="272"/>
      <c r="H177" s="107">
        <f>SUM(H179:H235)</f>
        <v>45254768.120000005</v>
      </c>
      <c r="I177" s="107">
        <f>SUM(I179:I241)</f>
        <v>457660.85000000009</v>
      </c>
      <c r="J177" s="107">
        <f>SUM(J179:J236)</f>
        <v>642732.1</v>
      </c>
      <c r="K177" s="107">
        <f t="shared" ref="K177:L177" si="52">SUM(K179:K236)</f>
        <v>16918737.630000003</v>
      </c>
      <c r="L177" s="107">
        <f t="shared" si="52"/>
        <v>143908.24</v>
      </c>
      <c r="M177" s="107">
        <f>SUM(H177:L177)</f>
        <v>63417806.940000013</v>
      </c>
      <c r="N177" s="306"/>
      <c r="O177" s="306"/>
      <c r="P177" s="306"/>
      <c r="Q177" s="306"/>
      <c r="R177" s="306"/>
      <c r="S177" s="306"/>
      <c r="T177" s="307"/>
      <c r="U177" s="307"/>
      <c r="V177" s="307"/>
      <c r="W177" s="307"/>
      <c r="X177" s="307"/>
      <c r="Y177" s="307"/>
      <c r="Z177" s="307"/>
      <c r="AA177" s="307"/>
      <c r="AB177" s="307"/>
      <c r="AC177" s="307"/>
      <c r="AD177" s="307"/>
      <c r="AE177" s="307"/>
      <c r="AP177" s="666"/>
    </row>
    <row r="178" spans="1:45" ht="18">
      <c r="B178" s="475">
        <v>1</v>
      </c>
      <c r="C178" s="247"/>
      <c r="D178" s="460" t="s">
        <v>951</v>
      </c>
      <c r="E178" s="476"/>
      <c r="F178" s="270"/>
      <c r="G178" s="731"/>
      <c r="H178" s="477"/>
      <c r="I178" s="478"/>
      <c r="J178" s="478"/>
      <c r="K178" s="478"/>
      <c r="L178" s="478"/>
      <c r="M178" s="477"/>
      <c r="N178" s="306"/>
      <c r="O178" s="306"/>
      <c r="P178" s="306"/>
      <c r="Q178" s="306"/>
      <c r="R178" s="306"/>
      <c r="S178" s="306"/>
      <c r="T178" s="307"/>
      <c r="U178" s="307"/>
      <c r="V178" s="307"/>
      <c r="W178" s="307"/>
      <c r="X178" s="307"/>
      <c r="Y178" s="307"/>
      <c r="Z178" s="307"/>
      <c r="AA178" s="307"/>
      <c r="AB178" s="307"/>
      <c r="AC178" s="307"/>
      <c r="AD178" s="307"/>
      <c r="AE178" s="307"/>
      <c r="AP178" s="666"/>
    </row>
    <row r="179" spans="1:45" ht="30">
      <c r="B179" s="88">
        <v>1.1000000000000001</v>
      </c>
      <c r="C179" s="247" t="s">
        <v>1085</v>
      </c>
      <c r="D179" s="461" t="s">
        <v>908</v>
      </c>
      <c r="E179" s="461" t="s">
        <v>723</v>
      </c>
      <c r="F179" s="270"/>
      <c r="G179" s="533"/>
      <c r="H179" s="716">
        <v>1648757.06</v>
      </c>
      <c r="I179" s="480">
        <v>0</v>
      </c>
      <c r="J179" s="480">
        <v>0</v>
      </c>
      <c r="K179" s="480">
        <v>0</v>
      </c>
      <c r="L179" s="480">
        <v>0</v>
      </c>
      <c r="M179" s="481">
        <f>SUM(H179:L179)</f>
        <v>1648757.06</v>
      </c>
      <c r="N179" s="322">
        <v>930298.72</v>
      </c>
      <c r="O179" s="418"/>
      <c r="P179" s="418"/>
      <c r="Q179" s="418"/>
      <c r="R179" s="418"/>
      <c r="S179" s="322">
        <f t="shared" ref="S179:S212" si="53">SUM(N179:R179)</f>
        <v>930298.72</v>
      </c>
      <c r="T179" s="307"/>
      <c r="U179" s="307"/>
      <c r="V179" s="307"/>
      <c r="W179" s="307"/>
      <c r="X179" s="307"/>
      <c r="Y179" s="322">
        <f t="shared" ref="Y179:Y212" si="54">SUM(T179:X179)</f>
        <v>0</v>
      </c>
      <c r="Z179" s="307"/>
      <c r="AA179" s="307"/>
      <c r="AB179" s="307"/>
      <c r="AC179" s="307"/>
      <c r="AD179" s="307"/>
      <c r="AE179" s="307"/>
      <c r="AP179" s="666"/>
    </row>
    <row r="180" spans="1:45" ht="72">
      <c r="B180" s="88">
        <v>1.2</v>
      </c>
      <c r="C180" s="376" t="s">
        <v>1154</v>
      </c>
      <c r="D180" s="460" t="s">
        <v>945</v>
      </c>
      <c r="E180" s="460" t="s">
        <v>724</v>
      </c>
      <c r="F180" s="666"/>
      <c r="G180" s="667"/>
      <c r="H180" s="715">
        <v>202139.08</v>
      </c>
      <c r="I180" s="480">
        <v>0</v>
      </c>
      <c r="J180" s="480">
        <v>0</v>
      </c>
      <c r="K180" s="480">
        <v>0</v>
      </c>
      <c r="L180" s="480">
        <v>0</v>
      </c>
      <c r="M180" s="481">
        <f t="shared" ref="M180:M241" si="55">SUM(H180:L180)</f>
        <v>202139.08</v>
      </c>
      <c r="N180" s="418"/>
      <c r="O180" s="418"/>
      <c r="P180" s="418"/>
      <c r="Q180" s="418"/>
      <c r="R180" s="418"/>
      <c r="S180" s="322">
        <f t="shared" si="53"/>
        <v>0</v>
      </c>
      <c r="T180" s="307"/>
      <c r="U180" s="307"/>
      <c r="V180" s="307"/>
      <c r="W180" s="307"/>
      <c r="X180" s="307"/>
      <c r="Y180" s="322">
        <f t="shared" si="54"/>
        <v>0</v>
      </c>
      <c r="Z180" s="322">
        <v>199592.84</v>
      </c>
      <c r="AA180" s="322">
        <v>0</v>
      </c>
      <c r="AB180" s="322">
        <v>0</v>
      </c>
      <c r="AC180" s="322">
        <v>0</v>
      </c>
      <c r="AD180" s="322">
        <v>0</v>
      </c>
      <c r="AE180" s="322">
        <f>SUM(Z180:AD180)</f>
        <v>199592.84</v>
      </c>
      <c r="AF180" s="719">
        <f>H180-Z180</f>
        <v>2546.2399999999907</v>
      </c>
      <c r="AP180" s="666" t="s">
        <v>1404</v>
      </c>
    </row>
    <row r="181" spans="1:45" ht="90">
      <c r="B181" s="88">
        <v>1.3</v>
      </c>
      <c r="C181" s="247" t="s">
        <v>1086</v>
      </c>
      <c r="D181" s="460" t="s">
        <v>993</v>
      </c>
      <c r="E181" s="461" t="s">
        <v>725</v>
      </c>
      <c r="F181" s="270"/>
      <c r="G181" s="731"/>
      <c r="H181" s="265">
        <v>0</v>
      </c>
      <c r="I181" s="480">
        <v>0</v>
      </c>
      <c r="J181" s="480">
        <v>0</v>
      </c>
      <c r="K181" s="462">
        <v>612270.13</v>
      </c>
      <c r="L181" s="480">
        <v>0</v>
      </c>
      <c r="M181" s="481">
        <f t="shared" si="55"/>
        <v>612270.13</v>
      </c>
      <c r="N181" s="418"/>
      <c r="O181" s="418"/>
      <c r="P181" s="418"/>
      <c r="Q181" s="322">
        <v>183651.18</v>
      </c>
      <c r="R181" s="418"/>
      <c r="S181" s="322">
        <f t="shared" si="53"/>
        <v>183651.18</v>
      </c>
      <c r="T181" s="307"/>
      <c r="U181" s="307"/>
      <c r="V181" s="307"/>
      <c r="W181" s="307"/>
      <c r="X181" s="307"/>
      <c r="Y181" s="322">
        <f t="shared" si="54"/>
        <v>0</v>
      </c>
      <c r="Z181" s="307"/>
      <c r="AA181" s="307"/>
      <c r="AB181" s="307"/>
      <c r="AC181" s="307"/>
      <c r="AD181" s="307"/>
      <c r="AE181" s="307"/>
      <c r="AP181" s="666"/>
    </row>
    <row r="182" spans="1:45" ht="37.5">
      <c r="B182" s="88">
        <v>1.4</v>
      </c>
      <c r="C182" s="247"/>
      <c r="D182" s="91" t="s">
        <v>77</v>
      </c>
      <c r="E182" s="91" t="s">
        <v>726</v>
      </c>
      <c r="F182" s="270"/>
      <c r="G182" s="731"/>
      <c r="H182" s="265">
        <v>0</v>
      </c>
      <c r="I182" s="480">
        <v>0</v>
      </c>
      <c r="J182" s="494">
        <v>440800</v>
      </c>
      <c r="K182" s="494">
        <v>1763200</v>
      </c>
      <c r="L182" s="480">
        <v>0</v>
      </c>
      <c r="M182" s="481">
        <f t="shared" si="55"/>
        <v>2204000</v>
      </c>
      <c r="N182" s="418"/>
      <c r="O182" s="418"/>
      <c r="P182" s="418"/>
      <c r="Q182" s="418"/>
      <c r="R182" s="418"/>
      <c r="S182" s="322">
        <f t="shared" si="53"/>
        <v>0</v>
      </c>
      <c r="T182" s="307"/>
      <c r="U182" s="307"/>
      <c r="V182" s="307"/>
      <c r="W182" s="307"/>
      <c r="X182" s="307"/>
      <c r="Y182" s="322">
        <f t="shared" si="54"/>
        <v>0</v>
      </c>
      <c r="Z182" s="307"/>
      <c r="AA182" s="307"/>
      <c r="AB182" s="307"/>
      <c r="AC182" s="307"/>
      <c r="AD182" s="307"/>
      <c r="AE182" s="307"/>
      <c r="AP182" s="666"/>
    </row>
    <row r="183" spans="1:45" ht="30">
      <c r="B183" s="88">
        <v>1.5</v>
      </c>
      <c r="C183" s="247" t="s">
        <v>1087</v>
      </c>
      <c r="D183" s="461" t="s">
        <v>910</v>
      </c>
      <c r="E183" s="461" t="s">
        <v>686</v>
      </c>
      <c r="F183" s="270"/>
      <c r="G183" s="731"/>
      <c r="H183" s="717">
        <v>2842915.59</v>
      </c>
      <c r="I183" s="480">
        <v>0</v>
      </c>
      <c r="J183" s="480">
        <v>0</v>
      </c>
      <c r="K183" s="480">
        <v>0</v>
      </c>
      <c r="L183" s="480">
        <v>0</v>
      </c>
      <c r="M183" s="481">
        <f t="shared" si="55"/>
        <v>2842915.59</v>
      </c>
      <c r="N183" s="322">
        <v>733018.49</v>
      </c>
      <c r="O183" s="418"/>
      <c r="P183" s="418"/>
      <c r="Q183" s="418"/>
      <c r="R183" s="418"/>
      <c r="S183" s="322">
        <f t="shared" si="53"/>
        <v>733018.49</v>
      </c>
      <c r="T183" s="307"/>
      <c r="U183" s="307"/>
      <c r="V183" s="307"/>
      <c r="W183" s="307"/>
      <c r="X183" s="307"/>
      <c r="Y183" s="322">
        <f t="shared" si="54"/>
        <v>0</v>
      </c>
      <c r="Z183" s="307"/>
      <c r="AA183" s="307"/>
      <c r="AB183" s="307"/>
      <c r="AC183" s="307"/>
      <c r="AD183" s="307"/>
      <c r="AE183" s="307"/>
      <c r="AP183" s="666"/>
    </row>
    <row r="184" spans="1:45" ht="54">
      <c r="B184" s="88">
        <v>1.6</v>
      </c>
      <c r="C184" s="247" t="s">
        <v>1413</v>
      </c>
      <c r="D184" s="460" t="s">
        <v>911</v>
      </c>
      <c r="E184" s="460" t="s">
        <v>686</v>
      </c>
      <c r="F184" s="270"/>
      <c r="G184" s="731"/>
      <c r="H184" s="717">
        <v>2615009.9</v>
      </c>
      <c r="I184" s="480">
        <v>0</v>
      </c>
      <c r="J184" s="480">
        <v>0</v>
      </c>
      <c r="K184" s="480">
        <v>0</v>
      </c>
      <c r="L184" s="480">
        <v>0</v>
      </c>
      <c r="M184" s="481">
        <f t="shared" si="55"/>
        <v>2615009.9</v>
      </c>
      <c r="N184" s="322">
        <v>1495077.7</v>
      </c>
      <c r="O184" s="418"/>
      <c r="P184" s="418"/>
      <c r="Q184" s="418"/>
      <c r="R184" s="418"/>
      <c r="S184" s="322">
        <f t="shared" si="53"/>
        <v>1495077.7</v>
      </c>
      <c r="T184" s="307"/>
      <c r="U184" s="307"/>
      <c r="V184" s="307"/>
      <c r="W184" s="307"/>
      <c r="X184" s="307"/>
      <c r="Y184" s="322">
        <f t="shared" si="54"/>
        <v>0</v>
      </c>
      <c r="Z184" s="307"/>
      <c r="AA184" s="307"/>
      <c r="AB184" s="307"/>
      <c r="AC184" s="307"/>
      <c r="AD184" s="307"/>
      <c r="AE184" s="307"/>
      <c r="AP184" s="666"/>
    </row>
    <row r="185" spans="1:45" ht="54">
      <c r="B185" s="88">
        <v>1.7</v>
      </c>
      <c r="C185" s="247" t="s">
        <v>1414</v>
      </c>
      <c r="D185" s="460" t="s">
        <v>912</v>
      </c>
      <c r="E185" s="460" t="s">
        <v>727</v>
      </c>
      <c r="F185" s="270"/>
      <c r="G185" s="731"/>
      <c r="H185" s="716">
        <v>1192783.17</v>
      </c>
      <c r="I185" s="480">
        <v>0</v>
      </c>
      <c r="J185" s="480">
        <v>0</v>
      </c>
      <c r="K185" s="480">
        <v>0</v>
      </c>
      <c r="L185" s="480">
        <v>0</v>
      </c>
      <c r="M185" s="481">
        <f t="shared" si="55"/>
        <v>1192783.17</v>
      </c>
      <c r="N185" s="418"/>
      <c r="O185" s="418"/>
      <c r="P185" s="418"/>
      <c r="Q185" s="418"/>
      <c r="R185" s="418"/>
      <c r="S185" s="322">
        <f t="shared" si="53"/>
        <v>0</v>
      </c>
      <c r="T185" s="307"/>
      <c r="U185" s="307"/>
      <c r="V185" s="307"/>
      <c r="W185" s="307"/>
      <c r="X185" s="307"/>
      <c r="Y185" s="322">
        <f t="shared" si="54"/>
        <v>0</v>
      </c>
      <c r="Z185" s="307"/>
      <c r="AA185" s="307"/>
      <c r="AB185" s="307"/>
      <c r="AC185" s="307"/>
      <c r="AD185" s="307"/>
      <c r="AE185" s="307"/>
      <c r="AP185" s="666"/>
    </row>
    <row r="186" spans="1:45" ht="45">
      <c r="B186" s="88">
        <v>1.8</v>
      </c>
      <c r="C186" s="247" t="s">
        <v>1088</v>
      </c>
      <c r="D186" s="461" t="s">
        <v>913</v>
      </c>
      <c r="E186" s="461" t="s">
        <v>728</v>
      </c>
      <c r="F186" s="270"/>
      <c r="G186" s="731"/>
      <c r="H186" s="717">
        <v>918523.99</v>
      </c>
      <c r="I186" s="480">
        <v>0</v>
      </c>
      <c r="J186" s="480">
        <v>0</v>
      </c>
      <c r="K186" s="480">
        <v>0</v>
      </c>
      <c r="L186" s="480">
        <v>0</v>
      </c>
      <c r="M186" s="481">
        <f t="shared" si="55"/>
        <v>918523.99</v>
      </c>
      <c r="N186" s="418"/>
      <c r="O186" s="418"/>
      <c r="P186" s="418"/>
      <c r="Q186" s="418"/>
      <c r="R186" s="418"/>
      <c r="S186" s="322">
        <f t="shared" si="53"/>
        <v>0</v>
      </c>
      <c r="T186" s="307"/>
      <c r="U186" s="307"/>
      <c r="V186" s="307"/>
      <c r="W186" s="307"/>
      <c r="X186" s="307"/>
      <c r="Y186" s="322">
        <f t="shared" si="54"/>
        <v>0</v>
      </c>
      <c r="Z186" s="307"/>
      <c r="AA186" s="307"/>
      <c r="AB186" s="307"/>
      <c r="AC186" s="307"/>
      <c r="AD186" s="307"/>
      <c r="AE186" s="307"/>
      <c r="AP186" s="666"/>
    </row>
    <row r="187" spans="1:45" ht="90">
      <c r="B187" s="482">
        <v>1.9</v>
      </c>
      <c r="C187" s="247" t="s">
        <v>1415</v>
      </c>
      <c r="D187" s="459" t="s">
        <v>946</v>
      </c>
      <c r="E187" s="94" t="s">
        <v>728</v>
      </c>
      <c r="F187" s="270"/>
      <c r="G187" s="533"/>
      <c r="H187" s="480">
        <v>0</v>
      </c>
      <c r="I187" s="480">
        <v>0</v>
      </c>
      <c r="J187" s="480">
        <v>0</v>
      </c>
      <c r="K187" s="494">
        <v>968164.1</v>
      </c>
      <c r="L187" s="480">
        <v>0</v>
      </c>
      <c r="M187" s="494">
        <f t="shared" si="55"/>
        <v>968164.1</v>
      </c>
      <c r="N187" s="418"/>
      <c r="O187" s="418"/>
      <c r="P187" s="418"/>
      <c r="Q187" s="322">
        <v>442795.05</v>
      </c>
      <c r="R187" s="418"/>
      <c r="S187" s="322">
        <f t="shared" si="53"/>
        <v>442795.05</v>
      </c>
      <c r="T187" s="307"/>
      <c r="U187" s="307"/>
      <c r="V187" s="307"/>
      <c r="W187" s="307"/>
      <c r="X187" s="307"/>
      <c r="Y187" s="322">
        <f t="shared" si="54"/>
        <v>0</v>
      </c>
      <c r="Z187" s="307"/>
      <c r="AA187" s="307"/>
      <c r="AB187" s="307"/>
      <c r="AC187" s="307"/>
      <c r="AD187" s="307"/>
      <c r="AE187" s="307"/>
      <c r="AP187" s="666"/>
    </row>
    <row r="188" spans="1:45" ht="90">
      <c r="B188" s="482" t="s">
        <v>729</v>
      </c>
      <c r="C188" s="247" t="s">
        <v>1218</v>
      </c>
      <c r="D188" s="459" t="s">
        <v>947</v>
      </c>
      <c r="E188" s="459" t="s">
        <v>728</v>
      </c>
      <c r="F188" s="270" t="s">
        <v>970</v>
      </c>
      <c r="G188" s="731"/>
      <c r="H188" s="715">
        <v>1401858.55</v>
      </c>
      <c r="I188" s="480">
        <v>0</v>
      </c>
      <c r="J188" s="480">
        <v>0</v>
      </c>
      <c r="K188" s="494">
        <v>1273539.3400000001</v>
      </c>
      <c r="L188" s="480">
        <v>0</v>
      </c>
      <c r="M188" s="481">
        <f t="shared" si="55"/>
        <v>2675397.89</v>
      </c>
      <c r="N188" s="418"/>
      <c r="O188" s="418"/>
      <c r="P188" s="418"/>
      <c r="Q188" s="418"/>
      <c r="R188" s="418"/>
      <c r="S188" s="322">
        <f t="shared" si="53"/>
        <v>0</v>
      </c>
      <c r="T188" s="307"/>
      <c r="U188" s="307"/>
      <c r="V188" s="307"/>
      <c r="W188" s="307"/>
      <c r="X188" s="307"/>
      <c r="Y188" s="322">
        <f t="shared" si="54"/>
        <v>0</v>
      </c>
      <c r="Z188" s="322">
        <v>1388561.72</v>
      </c>
      <c r="AA188" s="596">
        <v>0</v>
      </c>
      <c r="AB188" s="596">
        <v>0</v>
      </c>
      <c r="AC188" s="596">
        <v>1261365.22</v>
      </c>
      <c r="AD188" s="322">
        <v>0</v>
      </c>
      <c r="AE188" s="322">
        <f>SUM(Z188:AD188)</f>
        <v>2649926.94</v>
      </c>
      <c r="AF188" s="585">
        <f>H188/M188</f>
        <v>0.52398133198796837</v>
      </c>
      <c r="AG188" s="585">
        <f>K188/M188</f>
        <v>0.47601866801203169</v>
      </c>
      <c r="AH188" s="719">
        <f>H188-Z188</f>
        <v>13296.830000000075</v>
      </c>
      <c r="AI188" s="585">
        <v>52.4</v>
      </c>
      <c r="AJ188" s="585">
        <v>47.6</v>
      </c>
      <c r="AK188" s="585"/>
      <c r="AL188" s="585"/>
      <c r="AM188" s="585"/>
      <c r="AN188" s="585"/>
      <c r="AO188" s="585"/>
      <c r="AP188" s="665" t="s">
        <v>1404</v>
      </c>
    </row>
    <row r="189" spans="1:45" ht="75">
      <c r="A189" s="465"/>
      <c r="B189" s="482">
        <v>1.1100000000000001</v>
      </c>
      <c r="C189" s="178" t="s">
        <v>1168</v>
      </c>
      <c r="D189" s="459" t="s">
        <v>948</v>
      </c>
      <c r="E189" s="459" t="s">
        <v>728</v>
      </c>
      <c r="F189" s="531"/>
      <c r="G189" s="737"/>
      <c r="H189" s="721">
        <v>101095.06</v>
      </c>
      <c r="I189" s="480">
        <v>69253.95</v>
      </c>
      <c r="J189" s="480">
        <v>0</v>
      </c>
      <c r="K189" s="494">
        <v>2226460.66</v>
      </c>
      <c r="L189" s="480">
        <v>0</v>
      </c>
      <c r="M189" s="494">
        <f t="shared" si="55"/>
        <v>2396809.67</v>
      </c>
      <c r="N189" s="418"/>
      <c r="O189" s="418"/>
      <c r="P189" s="418"/>
      <c r="Q189" s="418"/>
      <c r="R189" s="418"/>
      <c r="S189" s="322">
        <f t="shared" si="53"/>
        <v>0</v>
      </c>
      <c r="T189" s="307"/>
      <c r="U189" s="307"/>
      <c r="V189" s="307"/>
      <c r="W189" s="307"/>
      <c r="X189" s="307"/>
      <c r="Y189" s="322">
        <f t="shared" si="54"/>
        <v>0</v>
      </c>
      <c r="Z189" s="420">
        <v>101095.06</v>
      </c>
      <c r="AA189" s="596">
        <v>69253.95</v>
      </c>
      <c r="AB189" s="596">
        <v>0</v>
      </c>
      <c r="AC189" s="597">
        <v>2226460.66</v>
      </c>
      <c r="AD189" s="322">
        <v>0</v>
      </c>
      <c r="AE189" s="322">
        <f>SUM(Z189:AD189)</f>
        <v>2396809.67</v>
      </c>
      <c r="AF189" s="440">
        <v>101095.06</v>
      </c>
      <c r="AG189" s="440">
        <v>2226460.66</v>
      </c>
      <c r="AH189" s="440"/>
      <c r="AI189" s="440">
        <f>SUM(AF189:AG189)</f>
        <v>2327555.7200000002</v>
      </c>
      <c r="AJ189" s="589">
        <f>AF189/AI189</f>
        <v>4.3434002086961847E-2</v>
      </c>
      <c r="AK189" s="589"/>
      <c r="AL189" s="589"/>
      <c r="AM189" s="589"/>
      <c r="AN189" s="589"/>
      <c r="AO189" s="589"/>
      <c r="AP189" s="664" t="s">
        <v>1404</v>
      </c>
      <c r="AQ189" s="440">
        <v>4.34</v>
      </c>
      <c r="AR189" s="440">
        <v>95.66</v>
      </c>
      <c r="AS189" s="440">
        <f>SUM(AQ189:AR189)</f>
        <v>100</v>
      </c>
    </row>
    <row r="190" spans="1:45" ht="60">
      <c r="B190" s="88">
        <v>1.1200000000000001</v>
      </c>
      <c r="C190" s="455" t="s">
        <v>1219</v>
      </c>
      <c r="D190" s="461" t="s">
        <v>949</v>
      </c>
      <c r="E190" s="91" t="s">
        <v>730</v>
      </c>
      <c r="F190" s="553"/>
      <c r="G190" s="748"/>
      <c r="H190" s="698">
        <v>298697.25</v>
      </c>
      <c r="I190" s="480">
        <v>0</v>
      </c>
      <c r="J190" s="480">
        <v>0</v>
      </c>
      <c r="K190" s="480">
        <v>0</v>
      </c>
      <c r="L190" s="480">
        <v>0</v>
      </c>
      <c r="M190" s="481">
        <f t="shared" si="55"/>
        <v>298697.25</v>
      </c>
      <c r="N190" s="418"/>
      <c r="O190" s="418"/>
      <c r="P190" s="418"/>
      <c r="Q190" s="418"/>
      <c r="R190" s="418"/>
      <c r="S190" s="322">
        <f t="shared" si="53"/>
        <v>0</v>
      </c>
      <c r="T190" s="307"/>
      <c r="U190" s="307"/>
      <c r="V190" s="307"/>
      <c r="W190" s="307"/>
      <c r="X190" s="307"/>
      <c r="Y190" s="322">
        <f t="shared" si="54"/>
        <v>0</v>
      </c>
      <c r="Z190" s="322">
        <v>296937.95</v>
      </c>
      <c r="AA190" s="322">
        <v>0</v>
      </c>
      <c r="AB190" s="322">
        <v>0</v>
      </c>
      <c r="AC190" s="322">
        <v>0</v>
      </c>
      <c r="AD190" s="322">
        <v>0</v>
      </c>
      <c r="AE190" s="322">
        <f>SUM(Z190:AD190)</f>
        <v>296937.95</v>
      </c>
      <c r="AP190" s="666" t="s">
        <v>1404</v>
      </c>
    </row>
    <row r="191" spans="1:45" ht="60">
      <c r="B191" s="88">
        <v>1.1299999999999999</v>
      </c>
      <c r="C191" s="455" t="s">
        <v>1125</v>
      </c>
      <c r="D191" s="461" t="s">
        <v>1057</v>
      </c>
      <c r="E191" s="461" t="s">
        <v>692</v>
      </c>
      <c r="F191" s="531"/>
      <c r="G191" s="747"/>
      <c r="H191" s="698">
        <v>1141037.7</v>
      </c>
      <c r="I191" s="480">
        <v>0</v>
      </c>
      <c r="J191" s="480">
        <v>0</v>
      </c>
      <c r="K191" s="480">
        <v>0</v>
      </c>
      <c r="L191" s="480">
        <v>0</v>
      </c>
      <c r="M191" s="481">
        <f t="shared" si="55"/>
        <v>1141037.7</v>
      </c>
      <c r="N191" s="322">
        <f>201080.4+310285.49</f>
        <v>511365.89</v>
      </c>
      <c r="O191" s="418"/>
      <c r="P191" s="418"/>
      <c r="Q191" s="418"/>
      <c r="R191" s="418"/>
      <c r="S191" s="322">
        <f t="shared" si="53"/>
        <v>511365.89</v>
      </c>
      <c r="T191" s="322">
        <f>+H191-N191</f>
        <v>629671.80999999994</v>
      </c>
      <c r="U191" s="307"/>
      <c r="V191" s="307"/>
      <c r="W191" s="307"/>
      <c r="X191" s="307"/>
      <c r="Y191" s="322">
        <f t="shared" si="54"/>
        <v>629671.80999999994</v>
      </c>
      <c r="Z191" s="322">
        <f>1124011.87+17025.83</f>
        <v>1141037.7000000002</v>
      </c>
      <c r="AA191" s="322">
        <v>0</v>
      </c>
      <c r="AB191" s="322">
        <v>0</v>
      </c>
      <c r="AC191" s="322">
        <v>0</v>
      </c>
      <c r="AD191" s="322">
        <v>0</v>
      </c>
      <c r="AE191" s="322">
        <f>SUM(Z191:AD191)</f>
        <v>1141037.7000000002</v>
      </c>
      <c r="AF191" s="182"/>
      <c r="AP191" s="666" t="s">
        <v>1404</v>
      </c>
    </row>
    <row r="192" spans="1:45" ht="30">
      <c r="B192" s="88">
        <v>1.1399999999999999</v>
      </c>
      <c r="C192" s="377" t="s">
        <v>888</v>
      </c>
      <c r="D192" s="501" t="s">
        <v>994</v>
      </c>
      <c r="E192" s="461" t="s">
        <v>731</v>
      </c>
      <c r="F192" s="270"/>
      <c r="G192" s="731"/>
      <c r="H192" s="481">
        <v>1224088.3799999999</v>
      </c>
      <c r="I192" s="480">
        <v>0</v>
      </c>
      <c r="J192" s="480">
        <v>0</v>
      </c>
      <c r="K192" s="480">
        <v>0</v>
      </c>
      <c r="L192" s="480">
        <v>0</v>
      </c>
      <c r="M192" s="481">
        <f t="shared" si="55"/>
        <v>1224088.3799999999</v>
      </c>
      <c r="N192" s="322">
        <f>265627.7+693031.25+79096.53</f>
        <v>1037755.48</v>
      </c>
      <c r="O192" s="418"/>
      <c r="P192" s="418"/>
      <c r="Q192" s="418"/>
      <c r="R192" s="418"/>
      <c r="S192" s="322">
        <f t="shared" si="53"/>
        <v>1037755.48</v>
      </c>
      <c r="T192" s="322">
        <f>+H192-N192</f>
        <v>186332.89999999991</v>
      </c>
      <c r="U192" s="307"/>
      <c r="V192" s="307"/>
      <c r="W192" s="307"/>
      <c r="X192" s="307"/>
      <c r="Y192" s="322">
        <f t="shared" si="54"/>
        <v>186332.89999999991</v>
      </c>
      <c r="Z192" s="322">
        <v>1216483.1599999999</v>
      </c>
      <c r="AA192" s="322">
        <v>0</v>
      </c>
      <c r="AB192" s="322">
        <v>0</v>
      </c>
      <c r="AC192" s="322">
        <v>0</v>
      </c>
      <c r="AD192" s="322">
        <v>0</v>
      </c>
      <c r="AE192" s="322">
        <f>SUM(Z192:AD192)</f>
        <v>1216483.1599999999</v>
      </c>
      <c r="AF192" s="719">
        <f>H192-Z192</f>
        <v>7605.2199999999721</v>
      </c>
      <c r="AP192" s="666" t="s">
        <v>1404</v>
      </c>
    </row>
    <row r="193" spans="1:42" ht="37.5">
      <c r="A193" t="s">
        <v>29</v>
      </c>
      <c r="B193" s="88">
        <v>1.1499999999999999</v>
      </c>
      <c r="C193" s="247"/>
      <c r="D193" s="94" t="s">
        <v>732</v>
      </c>
      <c r="E193" s="94" t="s">
        <v>69</v>
      </c>
      <c r="F193" s="270"/>
      <c r="G193" s="731"/>
      <c r="H193" s="265">
        <f>7668690.71-1505441.4-1458535.35-1458535.35-1458535.35-784011.93-1003631.33</f>
        <v>0</v>
      </c>
      <c r="I193" s="480">
        <v>0</v>
      </c>
      <c r="J193" s="480">
        <v>0</v>
      </c>
      <c r="K193" s="480">
        <v>0</v>
      </c>
      <c r="L193" s="480">
        <v>0</v>
      </c>
      <c r="M193" s="481">
        <f t="shared" si="55"/>
        <v>0</v>
      </c>
      <c r="N193" s="418"/>
      <c r="O193" s="418"/>
      <c r="P193" s="418"/>
      <c r="Q193" s="418"/>
      <c r="R193" s="418"/>
      <c r="S193" s="322">
        <f t="shared" si="53"/>
        <v>0</v>
      </c>
      <c r="T193" s="307"/>
      <c r="U193" s="307"/>
      <c r="V193" s="307"/>
      <c r="W193" s="307"/>
      <c r="X193" s="307"/>
      <c r="Y193" s="322">
        <f t="shared" si="54"/>
        <v>0</v>
      </c>
      <c r="Z193" s="307"/>
      <c r="AA193" s="307"/>
      <c r="AB193" s="307"/>
      <c r="AC193" s="307"/>
      <c r="AD193" s="307"/>
      <c r="AE193" s="307"/>
      <c r="AP193" s="666"/>
    </row>
    <row r="194" spans="1:42" ht="18.75">
      <c r="B194" s="88" t="s">
        <v>995</v>
      </c>
      <c r="C194" s="247"/>
      <c r="D194" s="94" t="s">
        <v>734</v>
      </c>
      <c r="E194" s="532"/>
      <c r="F194" s="533"/>
      <c r="G194" s="533"/>
      <c r="H194" s="494">
        <f>0+6492691.34-1505441.4-1458535.35-1458535.35-1458535.35-611643.89</f>
        <v>0</v>
      </c>
      <c r="I194" s="480">
        <f>SUM(I200:I208)</f>
        <v>0</v>
      </c>
      <c r="J194" s="480">
        <f>SUM(J200:J208)</f>
        <v>0</v>
      </c>
      <c r="K194" s="480">
        <v>0</v>
      </c>
      <c r="L194" s="480">
        <v>0</v>
      </c>
      <c r="M194" s="494">
        <f t="shared" si="55"/>
        <v>0</v>
      </c>
      <c r="N194" s="418"/>
      <c r="O194" s="418"/>
      <c r="P194" s="418"/>
      <c r="Q194" s="418"/>
      <c r="R194" s="418"/>
      <c r="S194" s="322">
        <f t="shared" si="53"/>
        <v>0</v>
      </c>
      <c r="T194" s="307"/>
      <c r="U194" s="307"/>
      <c r="V194" s="307"/>
      <c r="W194" s="307"/>
      <c r="X194" s="307"/>
      <c r="Y194" s="322">
        <f t="shared" si="54"/>
        <v>0</v>
      </c>
      <c r="Z194" s="307"/>
      <c r="AA194" s="307"/>
      <c r="AB194" s="307"/>
      <c r="AC194" s="307"/>
      <c r="AD194" s="307"/>
      <c r="AE194" s="323"/>
      <c r="AP194" s="666"/>
    </row>
    <row r="195" spans="1:42" s="138" customFormat="1" ht="56.25">
      <c r="B195" s="88" t="s">
        <v>996</v>
      </c>
      <c r="C195" s="377" t="s">
        <v>763</v>
      </c>
      <c r="D195" s="91" t="s">
        <v>782</v>
      </c>
      <c r="E195" s="91"/>
      <c r="F195" s="558"/>
      <c r="G195" s="730"/>
      <c r="H195" s="722">
        <v>1505441.4</v>
      </c>
      <c r="I195" s="334">
        <f>SUM(I204:I209)</f>
        <v>0</v>
      </c>
      <c r="J195" s="334">
        <f>SUM(J204:J209)</f>
        <v>0</v>
      </c>
      <c r="K195" s="334">
        <v>0</v>
      </c>
      <c r="L195" s="334">
        <v>0</v>
      </c>
      <c r="M195" s="331">
        <f t="shared" si="55"/>
        <v>1505441.4</v>
      </c>
      <c r="N195" s="445">
        <f>461381.67+461381.64+432000.65</f>
        <v>1354763.96</v>
      </c>
      <c r="O195" s="445"/>
      <c r="P195" s="445"/>
      <c r="Q195" s="445"/>
      <c r="R195" s="445"/>
      <c r="S195" s="322">
        <f t="shared" si="53"/>
        <v>1354763.96</v>
      </c>
      <c r="T195" s="434">
        <f>+H195-N195</f>
        <v>150677.43999999994</v>
      </c>
      <c r="U195" s="667"/>
      <c r="V195" s="667"/>
      <c r="W195" s="667"/>
      <c r="X195" s="667"/>
      <c r="Y195" s="322">
        <f t="shared" si="54"/>
        <v>150677.43999999994</v>
      </c>
      <c r="Z195" s="494">
        <v>1505441.4</v>
      </c>
      <c r="AA195" s="494">
        <v>0</v>
      </c>
      <c r="AB195" s="494">
        <v>0</v>
      </c>
      <c r="AC195" s="494">
        <v>0</v>
      </c>
      <c r="AD195" s="494">
        <v>0</v>
      </c>
      <c r="AE195" s="494">
        <f>SUM(Z195:AD195)</f>
        <v>1505441.4</v>
      </c>
      <c r="AP195" s="667" t="s">
        <v>1405</v>
      </c>
    </row>
    <row r="196" spans="1:42" s="138" customFormat="1" ht="37.5">
      <c r="B196" s="88" t="s">
        <v>997</v>
      </c>
      <c r="C196" s="377" t="s">
        <v>762</v>
      </c>
      <c r="D196" s="91" t="s">
        <v>783</v>
      </c>
      <c r="E196" s="91" t="s">
        <v>29</v>
      </c>
      <c r="F196" s="559"/>
      <c r="G196" s="559"/>
      <c r="H196" s="722">
        <v>1458535.35</v>
      </c>
      <c r="I196" s="334">
        <f>SUM(I206:I210)</f>
        <v>0</v>
      </c>
      <c r="J196" s="334">
        <f>SUM(J206:J210)</f>
        <v>0</v>
      </c>
      <c r="K196" s="334">
        <v>0</v>
      </c>
      <c r="L196" s="334">
        <v>0</v>
      </c>
      <c r="M196" s="331">
        <f t="shared" si="55"/>
        <v>1458535.35</v>
      </c>
      <c r="N196" s="445">
        <f>280467.05+158973.58+255736.11</f>
        <v>695176.74</v>
      </c>
      <c r="O196" s="445"/>
      <c r="P196" s="445"/>
      <c r="Q196" s="445"/>
      <c r="R196" s="445"/>
      <c r="S196" s="322">
        <f t="shared" si="53"/>
        <v>695176.74</v>
      </c>
      <c r="T196" s="434">
        <f>+H196-N196</f>
        <v>763358.6100000001</v>
      </c>
      <c r="U196" s="667"/>
      <c r="V196" s="667"/>
      <c r="W196" s="667"/>
      <c r="X196" s="667"/>
      <c r="Y196" s="322">
        <f t="shared" si="54"/>
        <v>763358.6100000001</v>
      </c>
      <c r="Z196" s="494">
        <v>1458535.35</v>
      </c>
      <c r="AA196" s="494">
        <v>0</v>
      </c>
      <c r="AB196" s="494">
        <v>0</v>
      </c>
      <c r="AC196" s="494">
        <v>0</v>
      </c>
      <c r="AD196" s="494">
        <v>0</v>
      </c>
      <c r="AE196" s="494">
        <f>SUM(Z196:AD196)</f>
        <v>1458535.35</v>
      </c>
      <c r="AP196" s="667" t="s">
        <v>1405</v>
      </c>
    </row>
    <row r="197" spans="1:42" s="138" customFormat="1" ht="72.75" customHeight="1">
      <c r="B197" s="88" t="s">
        <v>998</v>
      </c>
      <c r="C197" s="377" t="s">
        <v>764</v>
      </c>
      <c r="D197" s="91" t="s">
        <v>784</v>
      </c>
      <c r="E197" s="91"/>
      <c r="F197" s="559"/>
      <c r="G197" s="791" t="s">
        <v>1467</v>
      </c>
      <c r="H197" s="723">
        <f>1458535.35-23861.74</f>
        <v>1434673.61</v>
      </c>
      <c r="I197" s="334">
        <f>SUM(I207:I211)</f>
        <v>0</v>
      </c>
      <c r="J197" s="334">
        <f>SUM(J207:J211)</f>
        <v>0</v>
      </c>
      <c r="K197" s="334">
        <v>0</v>
      </c>
      <c r="L197" s="334">
        <v>0</v>
      </c>
      <c r="M197" s="331">
        <f t="shared" si="55"/>
        <v>1434673.61</v>
      </c>
      <c r="N197" s="445">
        <f>447833.85+447833.85+314736.72+224269.19</f>
        <v>1434673.6099999999</v>
      </c>
      <c r="O197" s="445"/>
      <c r="P197" s="445"/>
      <c r="Q197" s="445"/>
      <c r="R197" s="445"/>
      <c r="S197" s="322">
        <f t="shared" si="53"/>
        <v>1434673.6099999999</v>
      </c>
      <c r="T197" s="660">
        <f t="shared" ref="T197:T198" si="56">+H197-N197</f>
        <v>0</v>
      </c>
      <c r="U197" s="667"/>
      <c r="V197" s="667"/>
      <c r="W197" s="667"/>
      <c r="X197" s="667"/>
      <c r="Y197" s="322">
        <f t="shared" si="54"/>
        <v>0</v>
      </c>
      <c r="Z197" s="494">
        <v>1458535.35</v>
      </c>
      <c r="AA197" s="494">
        <v>0</v>
      </c>
      <c r="AB197" s="494">
        <v>0</v>
      </c>
      <c r="AC197" s="494">
        <v>0</v>
      </c>
      <c r="AD197" s="494">
        <v>0</v>
      </c>
      <c r="AE197" s="494">
        <f>SUM(Z197:AD197)</f>
        <v>1458535.35</v>
      </c>
      <c r="AF197" s="719">
        <v>23861.74</v>
      </c>
      <c r="AP197" s="667" t="s">
        <v>1406</v>
      </c>
    </row>
    <row r="198" spans="1:42" s="138" customFormat="1" ht="56.25">
      <c r="A198" s="138" t="s">
        <v>845</v>
      </c>
      <c r="B198" s="88" t="s">
        <v>999</v>
      </c>
      <c r="C198" s="377" t="s">
        <v>766</v>
      </c>
      <c r="D198" s="91" t="s">
        <v>785</v>
      </c>
      <c r="E198" s="91"/>
      <c r="F198" s="559"/>
      <c r="G198" s="559"/>
      <c r="H198" s="722">
        <v>1458535.35</v>
      </c>
      <c r="I198" s="334">
        <v>0</v>
      </c>
      <c r="J198" s="334">
        <v>0</v>
      </c>
      <c r="K198" s="334">
        <v>0</v>
      </c>
      <c r="L198" s="334">
        <v>0</v>
      </c>
      <c r="M198" s="331">
        <f t="shared" si="55"/>
        <v>1458535.35</v>
      </c>
      <c r="N198" s="445">
        <f>69625.55+236489.28+379152.75+7567.32+323649.58</f>
        <v>1016484.48</v>
      </c>
      <c r="O198" s="445"/>
      <c r="P198" s="445"/>
      <c r="Q198" s="445"/>
      <c r="R198" s="445"/>
      <c r="S198" s="322">
        <f t="shared" si="53"/>
        <v>1016484.48</v>
      </c>
      <c r="T198" s="434">
        <f t="shared" si="56"/>
        <v>442050.87000000011</v>
      </c>
      <c r="U198" s="667"/>
      <c r="V198" s="667"/>
      <c r="W198" s="667"/>
      <c r="X198" s="667"/>
      <c r="Y198" s="322">
        <f t="shared" si="54"/>
        <v>442050.87000000011</v>
      </c>
      <c r="Z198" s="494">
        <v>1458535.35</v>
      </c>
      <c r="AA198" s="494">
        <v>0</v>
      </c>
      <c r="AB198" s="494">
        <v>0</v>
      </c>
      <c r="AC198" s="494">
        <v>0</v>
      </c>
      <c r="AD198" s="494">
        <v>0</v>
      </c>
      <c r="AE198" s="494">
        <f>SUM(Z198:AD198)</f>
        <v>1458535.35</v>
      </c>
      <c r="AP198" s="667" t="s">
        <v>1406</v>
      </c>
    </row>
    <row r="199" spans="1:42" s="138" customFormat="1" ht="37.5">
      <c r="A199" s="138" t="s">
        <v>845</v>
      </c>
      <c r="B199" s="88" t="s">
        <v>1051</v>
      </c>
      <c r="C199" s="377" t="s">
        <v>1107</v>
      </c>
      <c r="D199" s="91" t="s">
        <v>1052</v>
      </c>
      <c r="E199" s="91"/>
      <c r="F199" s="528"/>
      <c r="G199" s="528"/>
      <c r="H199" s="698">
        <f>611643.89+49488.61</f>
        <v>661132.5</v>
      </c>
      <c r="I199" s="334">
        <v>0</v>
      </c>
      <c r="J199" s="334">
        <v>0</v>
      </c>
      <c r="K199" s="334">
        <v>0</v>
      </c>
      <c r="L199" s="334">
        <v>0</v>
      </c>
      <c r="M199" s="331">
        <f t="shared" si="55"/>
        <v>661132.5</v>
      </c>
      <c r="N199" s="445">
        <v>125828.26</v>
      </c>
      <c r="O199" s="445"/>
      <c r="P199" s="445"/>
      <c r="Q199" s="445"/>
      <c r="R199" s="445"/>
      <c r="S199" s="322">
        <f t="shared" si="53"/>
        <v>125828.26</v>
      </c>
      <c r="T199" s="434">
        <f>+H199-N199</f>
        <v>535304.24</v>
      </c>
      <c r="U199" s="667"/>
      <c r="V199" s="667"/>
      <c r="W199" s="667"/>
      <c r="X199" s="667"/>
      <c r="Y199" s="322">
        <f t="shared" si="54"/>
        <v>535304.24</v>
      </c>
      <c r="Z199" s="494">
        <f>611643.89+49488.61</f>
        <v>661132.5</v>
      </c>
      <c r="AA199" s="494">
        <v>0</v>
      </c>
      <c r="AB199" s="494">
        <v>0</v>
      </c>
      <c r="AC199" s="494">
        <v>0</v>
      </c>
      <c r="AD199" s="494">
        <v>0</v>
      </c>
      <c r="AE199" s="494">
        <f>SUM(Z199:AD199)</f>
        <v>661132.5</v>
      </c>
      <c r="AP199" s="667" t="s">
        <v>1406</v>
      </c>
    </row>
    <row r="200" spans="1:42" ht="18.75">
      <c r="B200" s="340" t="s">
        <v>1000</v>
      </c>
      <c r="C200" s="178"/>
      <c r="D200" s="91" t="s">
        <v>736</v>
      </c>
      <c r="E200" s="91"/>
      <c r="F200" s="270"/>
      <c r="G200" s="731"/>
      <c r="H200" s="481">
        <f>0+1003631.33+539078.81+43936.77-1108830.31-259854.71-129927.35-23070.86-64963.68</f>
        <v>9.4587448984384537E-11</v>
      </c>
      <c r="I200" s="480">
        <f>SUM(I204:I209)</f>
        <v>0</v>
      </c>
      <c r="J200" s="480">
        <f>SUM(J204:J209)</f>
        <v>0</v>
      </c>
      <c r="K200" s="480">
        <v>0</v>
      </c>
      <c r="L200" s="480">
        <v>0</v>
      </c>
      <c r="M200" s="481">
        <f t="shared" si="55"/>
        <v>9.4587448984384537E-11</v>
      </c>
      <c r="N200" s="418"/>
      <c r="O200" s="418"/>
      <c r="P200" s="418"/>
      <c r="Q200" s="418"/>
      <c r="R200" s="418"/>
      <c r="S200" s="322">
        <f t="shared" si="53"/>
        <v>0</v>
      </c>
      <c r="T200" s="307"/>
      <c r="U200" s="307"/>
      <c r="V200" s="307"/>
      <c r="W200" s="307"/>
      <c r="X200" s="307"/>
      <c r="Y200" s="322">
        <f t="shared" si="54"/>
        <v>0</v>
      </c>
      <c r="Z200" s="307"/>
      <c r="AA200" s="307"/>
      <c r="AB200" s="307"/>
      <c r="AC200" s="307"/>
      <c r="AD200" s="307"/>
      <c r="AE200" s="307"/>
      <c r="AP200" s="666"/>
    </row>
    <row r="201" spans="1:42" ht="81.75" customHeight="1">
      <c r="B201" s="340" t="s">
        <v>1001</v>
      </c>
      <c r="C201" s="455" t="s">
        <v>859</v>
      </c>
      <c r="D201" s="91" t="s">
        <v>854</v>
      </c>
      <c r="E201" s="91"/>
      <c r="F201" s="270"/>
      <c r="G201" s="791" t="s">
        <v>1468</v>
      </c>
      <c r="H201" s="723">
        <f>784011.93+129927.35-20130.27</f>
        <v>893809.01</v>
      </c>
      <c r="I201" s="480">
        <v>0</v>
      </c>
      <c r="J201" s="480">
        <v>0</v>
      </c>
      <c r="K201" s="480">
        <v>0</v>
      </c>
      <c r="L201" s="480">
        <v>0</v>
      </c>
      <c r="M201" s="481">
        <f t="shared" si="55"/>
        <v>893809.01</v>
      </c>
      <c r="N201" s="322">
        <f>380288.82+432736.43+80783.76</f>
        <v>893809.01</v>
      </c>
      <c r="O201" s="418"/>
      <c r="P201" s="418"/>
      <c r="Q201" s="418"/>
      <c r="R201" s="418"/>
      <c r="S201" s="322">
        <f t="shared" si="53"/>
        <v>893809.01</v>
      </c>
      <c r="T201" s="535">
        <f>+H201-N201</f>
        <v>0</v>
      </c>
      <c r="U201" s="307"/>
      <c r="V201" s="307"/>
      <c r="W201" s="307"/>
      <c r="X201" s="307"/>
      <c r="Y201" s="322">
        <f t="shared" si="54"/>
        <v>0</v>
      </c>
      <c r="Z201" s="341">
        <f>784011.93+129927.35</f>
        <v>913939.28</v>
      </c>
      <c r="AA201" s="494">
        <v>0</v>
      </c>
      <c r="AB201" s="494">
        <v>0</v>
      </c>
      <c r="AC201" s="494">
        <v>0</v>
      </c>
      <c r="AD201" s="494">
        <v>0</v>
      </c>
      <c r="AE201" s="494">
        <f>SUM(Z201:AD201)</f>
        <v>913939.28</v>
      </c>
      <c r="AF201" s="719">
        <v>20130.27</v>
      </c>
      <c r="AP201" s="666" t="s">
        <v>1406</v>
      </c>
    </row>
    <row r="202" spans="1:42" ht="56.25">
      <c r="A202" s="483" t="s">
        <v>845</v>
      </c>
      <c r="B202" s="340" t="s">
        <v>1002</v>
      </c>
      <c r="C202" s="455" t="s">
        <v>889</v>
      </c>
      <c r="D202" s="91" t="s">
        <v>885</v>
      </c>
      <c r="E202" s="91"/>
      <c r="F202" s="270"/>
      <c r="G202" s="731"/>
      <c r="H202" s="722">
        <f>1108830.31+259854.71</f>
        <v>1368685.02</v>
      </c>
      <c r="I202" s="480">
        <v>0</v>
      </c>
      <c r="J202" s="480">
        <v>0</v>
      </c>
      <c r="K202" s="480">
        <v>0</v>
      </c>
      <c r="L202" s="480">
        <v>0</v>
      </c>
      <c r="M202" s="481">
        <f t="shared" si="55"/>
        <v>1368685.02</v>
      </c>
      <c r="N202" s="322">
        <f>647695.42+582925.75</f>
        <v>1230621.17</v>
      </c>
      <c r="O202" s="418"/>
      <c r="P202" s="418"/>
      <c r="Q202" s="418"/>
      <c r="R202" s="418"/>
      <c r="S202" s="322">
        <f t="shared" si="53"/>
        <v>1230621.17</v>
      </c>
      <c r="T202" s="322">
        <f>+H202-N202</f>
        <v>138063.85000000009</v>
      </c>
      <c r="U202" s="307"/>
      <c r="V202" s="307"/>
      <c r="W202" s="307"/>
      <c r="X202" s="307"/>
      <c r="Y202" s="322">
        <f t="shared" si="54"/>
        <v>138063.85000000009</v>
      </c>
      <c r="Z202" s="341">
        <f>1108830.31+259854.71</f>
        <v>1368685.02</v>
      </c>
      <c r="AA202" s="494">
        <v>0</v>
      </c>
      <c r="AB202" s="494">
        <v>0</v>
      </c>
      <c r="AC202" s="494">
        <v>0</v>
      </c>
      <c r="AD202" s="494">
        <v>0</v>
      </c>
      <c r="AE202" s="494">
        <f>SUM(Z202:AD202)</f>
        <v>1368685.02</v>
      </c>
      <c r="AF202" s="435">
        <f>H202-Z202</f>
        <v>0</v>
      </c>
      <c r="AG202" t="s">
        <v>886</v>
      </c>
      <c r="AP202" s="666" t="s">
        <v>1406</v>
      </c>
    </row>
    <row r="203" spans="1:42" ht="37.5">
      <c r="A203" s="483"/>
      <c r="B203" s="340" t="s">
        <v>1366</v>
      </c>
      <c r="C203" s="455" t="s">
        <v>1367</v>
      </c>
      <c r="D203" s="91" t="s">
        <v>1368</v>
      </c>
      <c r="E203" s="91"/>
      <c r="F203" s="270"/>
      <c r="G203" s="731"/>
      <c r="H203" s="722">
        <v>64963.68</v>
      </c>
      <c r="I203" s="480">
        <v>0</v>
      </c>
      <c r="J203" s="480">
        <v>0</v>
      </c>
      <c r="K203" s="480">
        <v>0</v>
      </c>
      <c r="L203" s="480">
        <v>0</v>
      </c>
      <c r="M203" s="481">
        <f t="shared" si="55"/>
        <v>64963.68</v>
      </c>
      <c r="N203" s="418"/>
      <c r="O203" s="418"/>
      <c r="P203" s="418"/>
      <c r="Q203" s="418"/>
      <c r="R203" s="418"/>
      <c r="S203" s="322"/>
      <c r="T203" s="307"/>
      <c r="U203" s="307"/>
      <c r="V203" s="307"/>
      <c r="W203" s="307"/>
      <c r="X203" s="307"/>
      <c r="Y203" s="322"/>
      <c r="Z203" s="341">
        <v>64963.68</v>
      </c>
      <c r="AA203" s="480">
        <v>0</v>
      </c>
      <c r="AB203" s="480">
        <v>0</v>
      </c>
      <c r="AC203" s="480">
        <v>0</v>
      </c>
      <c r="AD203" s="480">
        <v>0</v>
      </c>
      <c r="AE203" s="481">
        <f t="shared" ref="AE203" si="57">SUM(Z203:AD203)</f>
        <v>64963.68</v>
      </c>
      <c r="AF203" s="435"/>
      <c r="AP203" s="666" t="s">
        <v>1406</v>
      </c>
    </row>
    <row r="204" spans="1:42" ht="56.25">
      <c r="B204" s="88">
        <v>1.1599999999999999</v>
      </c>
      <c r="C204" s="247"/>
      <c r="D204" s="94" t="s">
        <v>974</v>
      </c>
      <c r="E204" s="241" t="s">
        <v>758</v>
      </c>
      <c r="F204" s="270"/>
      <c r="G204" s="731"/>
      <c r="H204" s="722">
        <f>7413237.31-0.02</f>
        <v>7413237.29</v>
      </c>
      <c r="I204" s="480">
        <v>0</v>
      </c>
      <c r="J204" s="480">
        <v>0</v>
      </c>
      <c r="K204" s="480">
        <v>0</v>
      </c>
      <c r="L204" s="480">
        <v>0</v>
      </c>
      <c r="M204" s="481">
        <f t="shared" si="55"/>
        <v>7413237.29</v>
      </c>
      <c r="N204" s="322">
        <v>7225142.2599999998</v>
      </c>
      <c r="O204" s="418"/>
      <c r="P204" s="418"/>
      <c r="Q204" s="418"/>
      <c r="R204" s="418"/>
      <c r="S204" s="322">
        <f t="shared" si="53"/>
        <v>7225142.2599999998</v>
      </c>
      <c r="T204" s="322">
        <f>+H204-N204</f>
        <v>188095.03000000026</v>
      </c>
      <c r="U204" s="307"/>
      <c r="V204" s="307"/>
      <c r="W204" s="307"/>
      <c r="X204" s="307"/>
      <c r="Y204" s="322">
        <f t="shared" si="54"/>
        <v>188095.03000000026</v>
      </c>
      <c r="Z204" s="307"/>
      <c r="AA204" s="307"/>
      <c r="AB204" s="307"/>
      <c r="AC204" s="307"/>
      <c r="AD204" s="307"/>
      <c r="AE204" s="307"/>
      <c r="AP204" s="666"/>
    </row>
    <row r="205" spans="1:42" ht="18.75">
      <c r="B205" s="522" t="s">
        <v>733</v>
      </c>
      <c r="C205" s="247"/>
      <c r="D205" s="459" t="s">
        <v>736</v>
      </c>
      <c r="E205" s="241"/>
      <c r="F205" s="270"/>
      <c r="G205" s="731"/>
      <c r="H205" s="265"/>
      <c r="I205" s="480"/>
      <c r="J205" s="480"/>
      <c r="K205" s="480"/>
      <c r="L205" s="480"/>
      <c r="M205" s="481"/>
      <c r="N205" s="418"/>
      <c r="O205" s="418"/>
      <c r="P205" s="418"/>
      <c r="Q205" s="418"/>
      <c r="R205" s="418"/>
      <c r="S205" s="322"/>
      <c r="T205" s="307"/>
      <c r="U205" s="307"/>
      <c r="V205" s="307"/>
      <c r="W205" s="307"/>
      <c r="X205" s="307"/>
      <c r="Y205" s="322"/>
      <c r="Z205" s="307"/>
      <c r="AA205" s="307"/>
      <c r="AB205" s="307"/>
      <c r="AC205" s="307"/>
      <c r="AD205" s="307"/>
      <c r="AE205" s="307"/>
      <c r="AP205" s="666"/>
    </row>
    <row r="206" spans="1:42" ht="18.75">
      <c r="B206" s="522" t="s">
        <v>735</v>
      </c>
      <c r="C206" s="247"/>
      <c r="D206" s="459" t="s">
        <v>1089</v>
      </c>
      <c r="E206" s="94"/>
      <c r="F206" s="270"/>
      <c r="G206" s="731"/>
      <c r="H206" s="265">
        <v>0</v>
      </c>
      <c r="I206" s="480">
        <v>0</v>
      </c>
      <c r="J206" s="480">
        <v>0</v>
      </c>
      <c r="K206" s="480">
        <v>0</v>
      </c>
      <c r="L206" s="480">
        <v>0</v>
      </c>
      <c r="M206" s="481">
        <f t="shared" si="55"/>
        <v>0</v>
      </c>
      <c r="N206" s="418"/>
      <c r="O206" s="418"/>
      <c r="P206" s="418"/>
      <c r="Q206" s="418"/>
      <c r="R206" s="418"/>
      <c r="S206" s="322">
        <f t="shared" si="53"/>
        <v>0</v>
      </c>
      <c r="T206" s="307"/>
      <c r="U206" s="307"/>
      <c r="V206" s="307"/>
      <c r="W206" s="307"/>
      <c r="X206" s="307"/>
      <c r="Y206" s="322">
        <f t="shared" si="54"/>
        <v>0</v>
      </c>
      <c r="Z206" s="307"/>
      <c r="AA206" s="307"/>
      <c r="AB206" s="307"/>
      <c r="AC206" s="307"/>
      <c r="AD206" s="307"/>
      <c r="AE206" s="307"/>
      <c r="AP206" s="666"/>
    </row>
    <row r="207" spans="1:42" ht="18.75">
      <c r="B207" s="522" t="s">
        <v>1003</v>
      </c>
      <c r="C207" s="247"/>
      <c r="D207" s="459" t="s">
        <v>740</v>
      </c>
      <c r="E207" s="94"/>
      <c r="F207" s="270"/>
      <c r="G207" s="731"/>
      <c r="H207" s="265">
        <v>0</v>
      </c>
      <c r="I207" s="480">
        <v>0</v>
      </c>
      <c r="J207" s="480">
        <v>0</v>
      </c>
      <c r="K207" s="480">
        <v>0</v>
      </c>
      <c r="L207" s="480">
        <v>0</v>
      </c>
      <c r="M207" s="481">
        <f t="shared" si="55"/>
        <v>0</v>
      </c>
      <c r="N207" s="418"/>
      <c r="O207" s="418"/>
      <c r="P207" s="418"/>
      <c r="Q207" s="418"/>
      <c r="R207" s="418"/>
      <c r="S207" s="322">
        <f t="shared" si="53"/>
        <v>0</v>
      </c>
      <c r="T207" s="307"/>
      <c r="U207" s="307"/>
      <c r="V207" s="307"/>
      <c r="W207" s="307"/>
      <c r="X207" s="307"/>
      <c r="Y207" s="322">
        <f t="shared" si="54"/>
        <v>0</v>
      </c>
      <c r="Z207" s="307"/>
      <c r="AA207" s="307"/>
      <c r="AB207" s="307"/>
      <c r="AC207" s="307"/>
      <c r="AD207" s="307"/>
      <c r="AE207" s="307"/>
      <c r="AP207" s="666"/>
    </row>
    <row r="208" spans="1:42" ht="31.5">
      <c r="B208" s="88">
        <v>1.17</v>
      </c>
      <c r="C208" s="247"/>
      <c r="D208" s="242" t="s">
        <v>741</v>
      </c>
      <c r="E208" s="94"/>
      <c r="F208" s="270"/>
      <c r="G208" s="731"/>
      <c r="H208" s="265">
        <v>0</v>
      </c>
      <c r="I208" s="480">
        <f t="shared" ref="I208:J208" si="58">SUM(I209:I214)</f>
        <v>0</v>
      </c>
      <c r="J208" s="480">
        <f t="shared" si="58"/>
        <v>0</v>
      </c>
      <c r="K208" s="480">
        <v>0</v>
      </c>
      <c r="L208" s="480">
        <v>0</v>
      </c>
      <c r="M208" s="481">
        <f t="shared" si="55"/>
        <v>0</v>
      </c>
      <c r="N208" s="418"/>
      <c r="O208" s="418"/>
      <c r="P208" s="418"/>
      <c r="Q208" s="418"/>
      <c r="R208" s="418"/>
      <c r="S208" s="322">
        <f t="shared" si="53"/>
        <v>0</v>
      </c>
      <c r="T208" s="307"/>
      <c r="U208" s="307"/>
      <c r="V208" s="307"/>
      <c r="W208" s="307"/>
      <c r="X208" s="307"/>
      <c r="Y208" s="322">
        <f t="shared" si="54"/>
        <v>0</v>
      </c>
      <c r="Z208" s="307"/>
      <c r="AA208" s="307"/>
      <c r="AB208" s="307"/>
      <c r="AC208" s="307"/>
      <c r="AD208" s="307"/>
      <c r="AE208" s="307"/>
      <c r="AP208" s="666"/>
    </row>
    <row r="209" spans="1:42" ht="94.5">
      <c r="B209" s="88" t="s">
        <v>737</v>
      </c>
      <c r="C209" s="247" t="s">
        <v>865</v>
      </c>
      <c r="D209" s="243" t="s">
        <v>91</v>
      </c>
      <c r="E209" s="244" t="s">
        <v>742</v>
      </c>
      <c r="F209" s="690" t="s">
        <v>1446</v>
      </c>
      <c r="G209" s="791" t="s">
        <v>1470</v>
      </c>
      <c r="H209" s="724">
        <f>735199.44-11029.13</f>
        <v>724170.30999999994</v>
      </c>
      <c r="I209" s="480">
        <v>0</v>
      </c>
      <c r="J209" s="480">
        <v>0</v>
      </c>
      <c r="K209" s="265">
        <v>735199.44</v>
      </c>
      <c r="L209" s="480">
        <v>0</v>
      </c>
      <c r="M209" s="481">
        <f t="shared" si="55"/>
        <v>1459369.75</v>
      </c>
      <c r="N209" s="322">
        <f>215647.1+458523.21+50000-142574.6</f>
        <v>581595.71000000008</v>
      </c>
      <c r="O209" s="322"/>
      <c r="P209" s="322"/>
      <c r="Q209" s="322">
        <f>215647.09+315948.62+192574.6</f>
        <v>724170.30999999994</v>
      </c>
      <c r="R209" s="418"/>
      <c r="S209" s="322">
        <f t="shared" si="53"/>
        <v>1305766.02</v>
      </c>
      <c r="T209" s="535">
        <f>+H209-N209</f>
        <v>142574.59999999986</v>
      </c>
      <c r="U209" s="322"/>
      <c r="V209" s="322"/>
      <c r="W209" s="535">
        <f t="shared" ref="W209:W214" si="59">+K209-Q209</f>
        <v>11029.130000000005</v>
      </c>
      <c r="X209" s="307"/>
      <c r="Y209" s="535">
        <f t="shared" si="54"/>
        <v>153603.72999999986</v>
      </c>
      <c r="Z209" s="289">
        <f>674170.31+50000</f>
        <v>724170.31</v>
      </c>
      <c r="AA209" s="289">
        <v>0</v>
      </c>
      <c r="AB209" s="289">
        <v>0</v>
      </c>
      <c r="AC209" s="289">
        <f>674170.31+50000</f>
        <v>724170.31</v>
      </c>
      <c r="AD209" s="289">
        <v>0</v>
      </c>
      <c r="AE209" s="289">
        <f t="shared" ref="AE209:AE215" si="60">SUM(Z209:AD209)</f>
        <v>1448340.62</v>
      </c>
      <c r="AF209" s="719">
        <f>153603.73-142574.6</f>
        <v>11029.130000000005</v>
      </c>
      <c r="AG209" s="440"/>
      <c r="AH209" s="585"/>
      <c r="AI209" s="440"/>
      <c r="AP209" s="666"/>
    </row>
    <row r="210" spans="1:42" ht="75.75" customHeight="1">
      <c r="B210" s="88" t="s">
        <v>738</v>
      </c>
      <c r="C210" s="247" t="s">
        <v>770</v>
      </c>
      <c r="D210" s="243" t="s">
        <v>759</v>
      </c>
      <c r="E210" s="244" t="s">
        <v>743</v>
      </c>
      <c r="F210" s="270" t="s">
        <v>1170</v>
      </c>
      <c r="G210" s="791" t="s">
        <v>1471</v>
      </c>
      <c r="H210" s="723">
        <f>1549935.98-21146.19</f>
        <v>1528789.79</v>
      </c>
      <c r="I210" s="480">
        <v>0</v>
      </c>
      <c r="J210" s="480">
        <v>0</v>
      </c>
      <c r="K210" s="265">
        <v>1549935.98</v>
      </c>
      <c r="L210" s="480">
        <v>0</v>
      </c>
      <c r="M210" s="481">
        <f t="shared" si="55"/>
        <v>3078725.77</v>
      </c>
      <c r="N210" s="322">
        <f>584127.6+944662.19+0</f>
        <v>1528789.79</v>
      </c>
      <c r="O210" s="418"/>
      <c r="P210" s="418"/>
      <c r="Q210" s="322">
        <f>584127.6+675697.73+268964.47</f>
        <v>1528789.8</v>
      </c>
      <c r="R210" s="418"/>
      <c r="S210" s="322">
        <f t="shared" si="53"/>
        <v>3057579.59</v>
      </c>
      <c r="T210" s="535">
        <f>+H210-N210</f>
        <v>0</v>
      </c>
      <c r="U210" s="322"/>
      <c r="V210" s="322"/>
      <c r="W210" s="535">
        <f t="shared" si="59"/>
        <v>21146.179999999935</v>
      </c>
      <c r="X210" s="307"/>
      <c r="Y210" s="322">
        <f t="shared" si="54"/>
        <v>21146.179999999935</v>
      </c>
      <c r="Z210" s="289">
        <v>1549314.35</v>
      </c>
      <c r="AA210" s="289">
        <v>0</v>
      </c>
      <c r="AB210" s="289">
        <v>0</v>
      </c>
      <c r="AC210" s="289">
        <v>1549314.35</v>
      </c>
      <c r="AD210" s="289">
        <v>0</v>
      </c>
      <c r="AE210" s="289">
        <f t="shared" si="60"/>
        <v>3098628.7</v>
      </c>
      <c r="AF210" s="719">
        <v>21146.19</v>
      </c>
      <c r="AP210" s="666"/>
    </row>
    <row r="211" spans="1:42" ht="79.5" customHeight="1">
      <c r="A211" t="s">
        <v>845</v>
      </c>
      <c r="B211" s="88" t="s">
        <v>739</v>
      </c>
      <c r="C211" s="247" t="s">
        <v>773</v>
      </c>
      <c r="D211" s="243" t="s">
        <v>760</v>
      </c>
      <c r="E211" s="244" t="s">
        <v>744</v>
      </c>
      <c r="F211" s="270"/>
      <c r="G211" s="791" t="s">
        <v>1478</v>
      </c>
      <c r="H211" s="726">
        <f>1921293.32-89171.73</f>
        <v>1832121.59</v>
      </c>
      <c r="I211" s="480">
        <v>0</v>
      </c>
      <c r="J211" s="480">
        <v>0</v>
      </c>
      <c r="K211" s="480">
        <v>1921293.32</v>
      </c>
      <c r="L211" s="480">
        <v>0</v>
      </c>
      <c r="M211" s="494">
        <f t="shared" si="55"/>
        <v>3753414.91</v>
      </c>
      <c r="N211" s="322">
        <f>116530.24+24185.72+111241.81+446549.21+1038700.79+0</f>
        <v>1737207.77</v>
      </c>
      <c r="O211" s="322"/>
      <c r="P211" s="322"/>
      <c r="Q211" s="322">
        <f>116530.24+24185.72+111241.81+446549.2+818652.58+220048.22</f>
        <v>1737207.7699999998</v>
      </c>
      <c r="R211" s="418"/>
      <c r="S211" s="322">
        <f t="shared" si="53"/>
        <v>3474415.54</v>
      </c>
      <c r="T211" s="535">
        <f>+H211-N211</f>
        <v>94913.820000000065</v>
      </c>
      <c r="U211" s="535"/>
      <c r="V211" s="535"/>
      <c r="W211" s="535">
        <f t="shared" si="59"/>
        <v>184085.55000000028</v>
      </c>
      <c r="X211" s="307"/>
      <c r="Y211" s="322">
        <f t="shared" si="54"/>
        <v>278999.37000000034</v>
      </c>
      <c r="Z211" s="289">
        <v>1904178.32</v>
      </c>
      <c r="AA211" s="289">
        <v>0</v>
      </c>
      <c r="AB211" s="289">
        <v>0</v>
      </c>
      <c r="AC211" s="289">
        <v>1904178.32</v>
      </c>
      <c r="AD211" s="289">
        <v>0</v>
      </c>
      <c r="AE211" s="289">
        <f t="shared" si="60"/>
        <v>3808356.64</v>
      </c>
      <c r="AF211" s="719">
        <v>184085.55</v>
      </c>
      <c r="AG211" s="793">
        <f>106056.83+1497.61-3-12637.62</f>
        <v>94913.82</v>
      </c>
      <c r="AH211" s="440">
        <f>AF211-AG211</f>
        <v>89171.729999999981</v>
      </c>
      <c r="AP211" s="666"/>
    </row>
    <row r="212" spans="1:42" ht="75">
      <c r="A212" t="s">
        <v>845</v>
      </c>
      <c r="B212" s="88" t="s">
        <v>1004</v>
      </c>
      <c r="C212" s="247" t="s">
        <v>771</v>
      </c>
      <c r="D212" s="243" t="s">
        <v>745</v>
      </c>
      <c r="E212" s="244" t="s">
        <v>682</v>
      </c>
      <c r="F212" s="270" t="s">
        <v>1160</v>
      </c>
      <c r="G212" s="731"/>
      <c r="H212" s="722">
        <v>1320469.22</v>
      </c>
      <c r="I212" s="480">
        <v>0</v>
      </c>
      <c r="J212" s="480">
        <v>0</v>
      </c>
      <c r="K212" s="265">
        <v>1320469.22</v>
      </c>
      <c r="L212" s="480">
        <v>0</v>
      </c>
      <c r="M212" s="481">
        <f t="shared" si="55"/>
        <v>2640938.44</v>
      </c>
      <c r="N212" s="322">
        <f>485310.28+512034.83+150278.06+172846.05</f>
        <v>1320469.2200000002</v>
      </c>
      <c r="O212" s="322"/>
      <c r="P212" s="322"/>
      <c r="Q212" s="322">
        <f>485310.27+512034.83+150278.06+172846.06</f>
        <v>1320469.2200000002</v>
      </c>
      <c r="R212" s="418"/>
      <c r="S212" s="322">
        <f t="shared" si="53"/>
        <v>2640938.4400000004</v>
      </c>
      <c r="T212" s="535">
        <f>+H212-N212</f>
        <v>0</v>
      </c>
      <c r="U212" s="322"/>
      <c r="V212" s="322"/>
      <c r="W212" s="535">
        <f t="shared" si="59"/>
        <v>0</v>
      </c>
      <c r="X212" s="307"/>
      <c r="Y212" s="322">
        <f t="shared" si="54"/>
        <v>0</v>
      </c>
      <c r="Z212" s="289">
        <f>1304737.51+15731.71</f>
        <v>1320469.22</v>
      </c>
      <c r="AA212" s="289">
        <v>0</v>
      </c>
      <c r="AB212" s="289">
        <v>0</v>
      </c>
      <c r="AC212" s="289">
        <f>1304737.51+15731.71</f>
        <v>1320469.22</v>
      </c>
      <c r="AD212" s="289">
        <v>0</v>
      </c>
      <c r="AE212" s="289">
        <f t="shared" si="60"/>
        <v>2640938.44</v>
      </c>
      <c r="AF212" s="182"/>
      <c r="AG212" s="182"/>
      <c r="AI212" s="182"/>
      <c r="AP212" s="666"/>
    </row>
    <row r="213" spans="1:42" ht="81" customHeight="1">
      <c r="A213" t="s">
        <v>845</v>
      </c>
      <c r="B213" s="88" t="s">
        <v>1005</v>
      </c>
      <c r="C213" s="247" t="s">
        <v>769</v>
      </c>
      <c r="D213" s="118" t="s">
        <v>746</v>
      </c>
      <c r="E213" s="117" t="s">
        <v>747</v>
      </c>
      <c r="F213" s="270"/>
      <c r="G213" s="791" t="s">
        <v>1469</v>
      </c>
      <c r="H213" s="723">
        <f>1505830.53-67328.88</f>
        <v>1438501.65</v>
      </c>
      <c r="I213" s="342">
        <v>0</v>
      </c>
      <c r="J213" s="480">
        <v>0</v>
      </c>
      <c r="K213" s="265">
        <v>1505830.53</v>
      </c>
      <c r="L213" s="480">
        <v>0</v>
      </c>
      <c r="M213" s="481">
        <f t="shared" si="55"/>
        <v>2944332.1799999997</v>
      </c>
      <c r="N213" s="322">
        <f>108222.15+343521.22+152078.17+745009.5+89670.61</f>
        <v>1438501.6500000001</v>
      </c>
      <c r="O213" s="418"/>
      <c r="P213" s="418"/>
      <c r="Q213" s="322">
        <f>108222.15+343521.23+152078.17+745009.5+89670.6</f>
        <v>1438501.6500000001</v>
      </c>
      <c r="R213" s="418"/>
      <c r="S213" s="322">
        <f>SUM(N213:R213)</f>
        <v>2877003.3000000003</v>
      </c>
      <c r="T213" s="535">
        <f>+H213-N213</f>
        <v>0</v>
      </c>
      <c r="U213" s="535"/>
      <c r="V213" s="535"/>
      <c r="W213" s="535">
        <f t="shared" si="59"/>
        <v>67328.879999999888</v>
      </c>
      <c r="X213" s="535"/>
      <c r="Y213" s="535">
        <f>SUM(T213:X213)</f>
        <v>67328.879999999888</v>
      </c>
      <c r="Z213" s="289">
        <v>1499893.34</v>
      </c>
      <c r="AA213" s="289">
        <v>0</v>
      </c>
      <c r="AB213" s="289">
        <v>0</v>
      </c>
      <c r="AC213" s="289">
        <v>1499893.34</v>
      </c>
      <c r="AD213" s="289">
        <v>0</v>
      </c>
      <c r="AE213" s="289">
        <f t="shared" si="60"/>
        <v>2999786.68</v>
      </c>
      <c r="AF213" s="719">
        <v>67328.88</v>
      </c>
      <c r="AP213" s="666"/>
    </row>
    <row r="214" spans="1:42" ht="141.75">
      <c r="A214" t="s">
        <v>845</v>
      </c>
      <c r="B214" s="88" t="s">
        <v>1006</v>
      </c>
      <c r="C214" s="247" t="s">
        <v>768</v>
      </c>
      <c r="D214" s="118" t="s">
        <v>748</v>
      </c>
      <c r="E214" s="91" t="s">
        <v>728</v>
      </c>
      <c r="F214" s="431" t="s">
        <v>1382</v>
      </c>
      <c r="G214" s="791" t="s">
        <v>1464</v>
      </c>
      <c r="H214" s="713">
        <f>1319996.99+57891.7</f>
        <v>1377888.69</v>
      </c>
      <c r="I214" s="480">
        <v>0</v>
      </c>
      <c r="J214" s="480">
        <v>0</v>
      </c>
      <c r="K214" s="265">
        <v>1319996.99</v>
      </c>
      <c r="L214" s="480">
        <v>0</v>
      </c>
      <c r="M214" s="481">
        <f t="shared" si="55"/>
        <v>2697885.6799999997</v>
      </c>
      <c r="N214" s="322">
        <f>89088.66+1230908.33-10306.09</f>
        <v>1309690.8999999999</v>
      </c>
      <c r="O214" s="418"/>
      <c r="P214" s="418"/>
      <c r="Q214" s="322">
        <v>89088.66</v>
      </c>
      <c r="R214" s="418"/>
      <c r="S214" s="322">
        <f t="shared" ref="S214" si="61">SUM(N214:R214)</f>
        <v>1398779.5599999998</v>
      </c>
      <c r="T214" s="322">
        <f t="shared" ref="T214" si="62">+H214-N214</f>
        <v>68197.790000000037</v>
      </c>
      <c r="U214" s="307"/>
      <c r="V214" s="307"/>
      <c r="W214" s="322">
        <f t="shared" si="59"/>
        <v>1230908.33</v>
      </c>
      <c r="X214" s="307"/>
      <c r="Y214" s="322">
        <f t="shared" ref="Y214:Y215" si="63">SUM(T214:X214)</f>
        <v>1299106.1200000001</v>
      </c>
      <c r="Z214" s="289">
        <f>1309690.9+10306.07</f>
        <v>1319996.97</v>
      </c>
      <c r="AA214" s="289">
        <v>0</v>
      </c>
      <c r="AB214" s="289">
        <v>0</v>
      </c>
      <c r="AC214" s="289">
        <f>1309690.89+10306.09</f>
        <v>1319996.98</v>
      </c>
      <c r="AD214" s="289">
        <v>0</v>
      </c>
      <c r="AE214" s="289">
        <f t="shared" si="60"/>
        <v>2639993.9500000002</v>
      </c>
      <c r="AF214" s="725">
        <v>57891.7</v>
      </c>
      <c r="AP214" s="666" t="s">
        <v>1407</v>
      </c>
    </row>
    <row r="215" spans="1:42" ht="141.75">
      <c r="A215" t="s">
        <v>845</v>
      </c>
      <c r="B215" s="303">
        <v>1.18</v>
      </c>
      <c r="C215" s="376" t="s">
        <v>878</v>
      </c>
      <c r="D215" s="118" t="s">
        <v>786</v>
      </c>
      <c r="E215" s="94" t="s">
        <v>787</v>
      </c>
      <c r="F215" s="531" t="s">
        <v>1152</v>
      </c>
      <c r="G215" s="737"/>
      <c r="H215" s="480">
        <v>0</v>
      </c>
      <c r="I215" s="480">
        <v>41194.43</v>
      </c>
      <c r="J215" s="480">
        <v>100000</v>
      </c>
      <c r="K215" s="480">
        <v>0</v>
      </c>
      <c r="L215" s="480">
        <v>0</v>
      </c>
      <c r="M215" s="494">
        <f t="shared" si="55"/>
        <v>141194.43</v>
      </c>
      <c r="N215" s="605">
        <v>0</v>
      </c>
      <c r="O215" s="322">
        <v>41194.43</v>
      </c>
      <c r="P215" s="322">
        <f>22121.6+33857.89+13436.18+30584.33</f>
        <v>100000</v>
      </c>
      <c r="Q215" s="418"/>
      <c r="R215" s="418"/>
      <c r="S215" s="322">
        <f>SUM(O215:R215)</f>
        <v>141194.43</v>
      </c>
      <c r="T215" s="535">
        <f>+H215-N215</f>
        <v>0</v>
      </c>
      <c r="U215" s="535">
        <f>+I215-O215</f>
        <v>0</v>
      </c>
      <c r="V215" s="535">
        <f>+J215-P215</f>
        <v>0</v>
      </c>
      <c r="W215" s="307"/>
      <c r="X215" s="307"/>
      <c r="Y215" s="322">
        <f t="shared" si="63"/>
        <v>0</v>
      </c>
      <c r="Z215" s="420">
        <v>0</v>
      </c>
      <c r="AA215" s="420">
        <f>200000+41194.43</f>
        <v>241194.43</v>
      </c>
      <c r="AB215" s="420">
        <f>77912.29+22087.71</f>
        <v>100000</v>
      </c>
      <c r="AC215" s="420">
        <v>0</v>
      </c>
      <c r="AD215" s="420">
        <v>0</v>
      </c>
      <c r="AE215" s="420">
        <f t="shared" si="60"/>
        <v>341194.43</v>
      </c>
      <c r="AP215" s="666"/>
    </row>
    <row r="216" spans="1:42" ht="60">
      <c r="B216" s="303">
        <v>1.19</v>
      </c>
      <c r="C216" s="247" t="s">
        <v>1416</v>
      </c>
      <c r="D216" s="468" t="s">
        <v>914</v>
      </c>
      <c r="E216" s="461" t="s">
        <v>726</v>
      </c>
      <c r="F216" s="270"/>
      <c r="G216" s="731"/>
      <c r="H216" s="716">
        <v>673905.83</v>
      </c>
      <c r="I216" s="265">
        <v>0</v>
      </c>
      <c r="J216" s="265">
        <v>0</v>
      </c>
      <c r="K216" s="265">
        <v>0</v>
      </c>
      <c r="L216" s="265">
        <v>0</v>
      </c>
      <c r="M216" s="481">
        <f t="shared" si="55"/>
        <v>673905.83</v>
      </c>
      <c r="N216" s="466">
        <v>198445.84</v>
      </c>
      <c r="O216" s="433"/>
      <c r="P216" s="433"/>
      <c r="Q216" s="433"/>
      <c r="R216" s="433"/>
      <c r="S216" s="322">
        <f>SUM(N216:R216)</f>
        <v>198445.84</v>
      </c>
      <c r="T216" s="466">
        <f>+H216-N216</f>
        <v>475459.99</v>
      </c>
      <c r="U216" s="372"/>
      <c r="V216" s="372"/>
      <c r="W216" s="372"/>
      <c r="X216" s="372"/>
      <c r="Y216" s="466"/>
      <c r="Z216" s="467"/>
      <c r="AA216" s="467"/>
      <c r="AB216" s="467"/>
      <c r="AC216" s="467"/>
      <c r="AD216" s="467"/>
      <c r="AE216" s="467"/>
      <c r="AP216" s="666"/>
    </row>
    <row r="217" spans="1:42" ht="30">
      <c r="B217" s="474" t="s">
        <v>789</v>
      </c>
      <c r="C217" s="552" t="s">
        <v>842</v>
      </c>
      <c r="D217" s="468" t="s">
        <v>915</v>
      </c>
      <c r="E217" s="461" t="s">
        <v>726</v>
      </c>
      <c r="F217" s="270"/>
      <c r="G217" s="731"/>
      <c r="H217" s="715">
        <v>582648.31999999995</v>
      </c>
      <c r="I217" s="265">
        <v>0</v>
      </c>
      <c r="J217" s="265">
        <v>0</v>
      </c>
      <c r="K217" s="265">
        <v>0</v>
      </c>
      <c r="L217" s="265">
        <v>0</v>
      </c>
      <c r="M217" s="481">
        <f t="shared" si="55"/>
        <v>582648.31999999995</v>
      </c>
      <c r="N217" s="433"/>
      <c r="O217" s="433"/>
      <c r="P217" s="433"/>
      <c r="Q217" s="433"/>
      <c r="R217" s="433"/>
      <c r="S217" s="322">
        <f t="shared" ref="S217:S235" si="64">SUM(N217:R217)</f>
        <v>0</v>
      </c>
      <c r="T217" s="466">
        <f t="shared" ref="T217:T235" si="65">+H217-N217</f>
        <v>582648.31999999995</v>
      </c>
      <c r="U217" s="372"/>
      <c r="V217" s="372"/>
      <c r="W217" s="372"/>
      <c r="X217" s="372"/>
      <c r="Y217" s="466"/>
      <c r="Z217" s="467">
        <v>569959.78</v>
      </c>
      <c r="AA217" s="467"/>
      <c r="AB217" s="467"/>
      <c r="AC217" s="467"/>
      <c r="AD217" s="467"/>
      <c r="AE217" s="467"/>
      <c r="AF217" s="719">
        <f>H217-Z217</f>
        <v>12688.539999999921</v>
      </c>
      <c r="AP217" s="666" t="s">
        <v>1408</v>
      </c>
    </row>
    <row r="218" spans="1:42" ht="18.75">
      <c r="B218" s="303">
        <v>1.21</v>
      </c>
      <c r="C218" s="469"/>
      <c r="D218" s="468" t="s">
        <v>916</v>
      </c>
      <c r="E218" s="470"/>
      <c r="F218" s="270"/>
      <c r="G218" s="731"/>
      <c r="H218" s="481"/>
      <c r="I218" s="265">
        <v>0</v>
      </c>
      <c r="J218" s="265">
        <v>0</v>
      </c>
      <c r="K218" s="265">
        <v>0</v>
      </c>
      <c r="L218" s="265">
        <v>0</v>
      </c>
      <c r="M218" s="481">
        <f t="shared" si="55"/>
        <v>0</v>
      </c>
      <c r="N218" s="433"/>
      <c r="O218" s="433"/>
      <c r="P218" s="433"/>
      <c r="Q218" s="433"/>
      <c r="R218" s="433"/>
      <c r="S218" s="322">
        <f t="shared" si="64"/>
        <v>0</v>
      </c>
      <c r="T218" s="466">
        <f t="shared" si="65"/>
        <v>0</v>
      </c>
      <c r="U218" s="372"/>
      <c r="V218" s="372"/>
      <c r="W218" s="372"/>
      <c r="X218" s="372"/>
      <c r="Y218" s="466"/>
      <c r="Z218" s="467"/>
      <c r="AA218" s="467"/>
      <c r="AB218" s="467"/>
      <c r="AC218" s="467"/>
      <c r="AD218" s="467"/>
      <c r="AE218" s="467"/>
      <c r="AP218" s="666"/>
    </row>
    <row r="219" spans="1:42" ht="30">
      <c r="B219" s="303" t="s">
        <v>1007</v>
      </c>
      <c r="C219" s="376" t="s">
        <v>1108</v>
      </c>
      <c r="D219" s="468" t="s">
        <v>917</v>
      </c>
      <c r="E219" s="470" t="s">
        <v>918</v>
      </c>
      <c r="F219" s="270"/>
      <c r="G219" s="731"/>
      <c r="H219" s="727">
        <v>649983.53</v>
      </c>
      <c r="I219" s="265">
        <v>0</v>
      </c>
      <c r="J219" s="265">
        <v>0</v>
      </c>
      <c r="K219" s="265">
        <v>0</v>
      </c>
      <c r="L219" s="265">
        <v>0</v>
      </c>
      <c r="M219" s="481">
        <f t="shared" si="55"/>
        <v>649983.53</v>
      </c>
      <c r="N219" s="466">
        <v>649983.53</v>
      </c>
      <c r="O219" s="433"/>
      <c r="P219" s="433"/>
      <c r="Q219" s="433"/>
      <c r="R219" s="433"/>
      <c r="S219" s="322">
        <f t="shared" si="64"/>
        <v>649983.53</v>
      </c>
      <c r="T219" s="466">
        <f t="shared" si="65"/>
        <v>0</v>
      </c>
      <c r="U219" s="372"/>
      <c r="V219" s="372"/>
      <c r="W219" s="372"/>
      <c r="X219" s="372"/>
      <c r="Y219" s="466"/>
      <c r="Z219" s="467"/>
      <c r="AA219" s="467"/>
      <c r="AB219" s="467"/>
      <c r="AC219" s="467"/>
      <c r="AD219" s="467"/>
      <c r="AE219" s="467"/>
      <c r="AP219" s="666"/>
    </row>
    <row r="220" spans="1:42" ht="45">
      <c r="B220" s="303" t="s">
        <v>1008</v>
      </c>
      <c r="C220" s="376" t="s">
        <v>1108</v>
      </c>
      <c r="D220" s="468" t="s">
        <v>919</v>
      </c>
      <c r="E220" s="470" t="s">
        <v>920</v>
      </c>
      <c r="F220" s="270"/>
      <c r="G220" s="731"/>
      <c r="H220" s="727">
        <v>754698.13</v>
      </c>
      <c r="I220" s="265">
        <v>0</v>
      </c>
      <c r="J220" s="265">
        <v>0</v>
      </c>
      <c r="K220" s="265">
        <v>0</v>
      </c>
      <c r="L220" s="265">
        <v>0</v>
      </c>
      <c r="M220" s="481">
        <f t="shared" si="55"/>
        <v>754698.13</v>
      </c>
      <c r="N220" s="466">
        <v>754698.13</v>
      </c>
      <c r="O220" s="433"/>
      <c r="P220" s="433"/>
      <c r="Q220" s="433"/>
      <c r="R220" s="433"/>
      <c r="S220" s="322">
        <f t="shared" si="64"/>
        <v>754698.13</v>
      </c>
      <c r="T220" s="466">
        <f t="shared" si="65"/>
        <v>0</v>
      </c>
      <c r="U220" s="372"/>
      <c r="V220" s="372"/>
      <c r="W220" s="372"/>
      <c r="X220" s="372"/>
      <c r="Y220" s="466"/>
      <c r="Z220" s="467"/>
      <c r="AA220" s="467"/>
      <c r="AB220" s="467"/>
      <c r="AC220" s="467"/>
      <c r="AD220" s="467"/>
      <c r="AE220" s="467"/>
      <c r="AP220" s="666"/>
    </row>
    <row r="221" spans="1:42" ht="45">
      <c r="B221" s="303" t="s">
        <v>1009</v>
      </c>
      <c r="C221" s="376" t="s">
        <v>1108</v>
      </c>
      <c r="D221" s="468" t="s">
        <v>921</v>
      </c>
      <c r="E221" s="470" t="s">
        <v>68</v>
      </c>
      <c r="F221" s="270"/>
      <c r="G221" s="731"/>
      <c r="H221" s="727">
        <v>461024.36</v>
      </c>
      <c r="I221" s="265">
        <v>0</v>
      </c>
      <c r="J221" s="265">
        <v>0</v>
      </c>
      <c r="K221" s="265">
        <v>0</v>
      </c>
      <c r="L221" s="265">
        <v>0</v>
      </c>
      <c r="M221" s="481">
        <f t="shared" si="55"/>
        <v>461024.36</v>
      </c>
      <c r="N221" s="466">
        <v>461024.36</v>
      </c>
      <c r="O221" s="433"/>
      <c r="P221" s="433"/>
      <c r="Q221" s="433"/>
      <c r="R221" s="433"/>
      <c r="S221" s="322">
        <f t="shared" si="64"/>
        <v>461024.36</v>
      </c>
      <c r="T221" s="466">
        <f t="shared" si="65"/>
        <v>0</v>
      </c>
      <c r="U221" s="372"/>
      <c r="V221" s="372"/>
      <c r="W221" s="372"/>
      <c r="X221" s="372"/>
      <c r="Y221" s="466"/>
      <c r="Z221" s="467"/>
      <c r="AA221" s="467"/>
      <c r="AB221" s="467"/>
      <c r="AC221" s="467"/>
      <c r="AD221" s="467"/>
      <c r="AE221" s="467"/>
      <c r="AP221" s="666"/>
    </row>
    <row r="222" spans="1:42" ht="30">
      <c r="B222" s="303" t="s">
        <v>1010</v>
      </c>
      <c r="C222" s="376" t="s">
        <v>1108</v>
      </c>
      <c r="D222" s="468" t="s">
        <v>922</v>
      </c>
      <c r="E222" s="470" t="s">
        <v>923</v>
      </c>
      <c r="F222" s="270"/>
      <c r="G222" s="731"/>
      <c r="H222" s="727">
        <v>375181.62</v>
      </c>
      <c r="I222" s="265">
        <v>0</v>
      </c>
      <c r="J222" s="265">
        <v>0</v>
      </c>
      <c r="K222" s="265">
        <v>0</v>
      </c>
      <c r="L222" s="265">
        <v>0</v>
      </c>
      <c r="M222" s="481">
        <f t="shared" si="55"/>
        <v>375181.62</v>
      </c>
      <c r="N222" s="466">
        <v>375181.62</v>
      </c>
      <c r="O222" s="433"/>
      <c r="P222" s="433"/>
      <c r="Q222" s="433"/>
      <c r="R222" s="433"/>
      <c r="S222" s="322">
        <f t="shared" si="64"/>
        <v>375181.62</v>
      </c>
      <c r="T222" s="466">
        <f t="shared" si="65"/>
        <v>0</v>
      </c>
      <c r="U222" s="372"/>
      <c r="V222" s="372"/>
      <c r="W222" s="372"/>
      <c r="X222" s="372"/>
      <c r="Y222" s="466"/>
      <c r="Z222" s="467"/>
      <c r="AA222" s="467"/>
      <c r="AB222" s="467"/>
      <c r="AC222" s="467"/>
      <c r="AD222" s="467"/>
      <c r="AE222" s="467"/>
      <c r="AP222" s="666"/>
    </row>
    <row r="223" spans="1:42" ht="30">
      <c r="B223" s="303" t="s">
        <v>1011</v>
      </c>
      <c r="C223" s="376" t="s">
        <v>1108</v>
      </c>
      <c r="D223" s="468" t="s">
        <v>924</v>
      </c>
      <c r="E223" s="470" t="s">
        <v>925</v>
      </c>
      <c r="F223" s="270"/>
      <c r="G223" s="731"/>
      <c r="H223" s="727">
        <v>87621.59</v>
      </c>
      <c r="I223" s="265">
        <v>0</v>
      </c>
      <c r="J223" s="265">
        <v>0</v>
      </c>
      <c r="K223" s="265">
        <v>0</v>
      </c>
      <c r="L223" s="265">
        <v>0</v>
      </c>
      <c r="M223" s="481">
        <f t="shared" si="55"/>
        <v>87621.59</v>
      </c>
      <c r="N223" s="466">
        <v>87621.59</v>
      </c>
      <c r="O223" s="433"/>
      <c r="P223" s="433"/>
      <c r="Q223" s="433"/>
      <c r="R223" s="433"/>
      <c r="S223" s="322">
        <f t="shared" si="64"/>
        <v>87621.59</v>
      </c>
      <c r="T223" s="466">
        <f t="shared" si="65"/>
        <v>0</v>
      </c>
      <c r="U223" s="372"/>
      <c r="V223" s="372"/>
      <c r="W223" s="372"/>
      <c r="X223" s="372"/>
      <c r="Y223" s="466"/>
      <c r="Z223" s="467"/>
      <c r="AA223" s="467"/>
      <c r="AB223" s="467"/>
      <c r="AC223" s="467"/>
      <c r="AD223" s="467"/>
      <c r="AE223" s="467"/>
      <c r="AP223" s="666"/>
    </row>
    <row r="224" spans="1:42" ht="30">
      <c r="B224" s="303" t="s">
        <v>1012</v>
      </c>
      <c r="C224" s="376" t="s">
        <v>1108</v>
      </c>
      <c r="D224" s="468" t="s">
        <v>926</v>
      </c>
      <c r="E224" s="470" t="s">
        <v>927</v>
      </c>
      <c r="F224" s="270"/>
      <c r="G224" s="731"/>
      <c r="H224" s="727">
        <v>221837.91</v>
      </c>
      <c r="I224" s="265">
        <v>0</v>
      </c>
      <c r="J224" s="265">
        <v>0</v>
      </c>
      <c r="K224" s="265">
        <v>0</v>
      </c>
      <c r="L224" s="265">
        <v>0</v>
      </c>
      <c r="M224" s="481">
        <f t="shared" si="55"/>
        <v>221837.91</v>
      </c>
      <c r="N224" s="466">
        <v>221837.91</v>
      </c>
      <c r="O224" s="433"/>
      <c r="P224" s="433"/>
      <c r="Q224" s="433"/>
      <c r="R224" s="433"/>
      <c r="S224" s="466">
        <f t="shared" si="64"/>
        <v>221837.91</v>
      </c>
      <c r="T224" s="466">
        <f t="shared" si="65"/>
        <v>0</v>
      </c>
      <c r="U224" s="372"/>
      <c r="V224" s="372"/>
      <c r="W224" s="372"/>
      <c r="X224" s="372"/>
      <c r="Y224" s="466"/>
      <c r="Z224" s="467"/>
      <c r="AA224" s="467"/>
      <c r="AB224" s="467"/>
      <c r="AC224" s="467"/>
      <c r="AD224" s="467"/>
      <c r="AE224" s="467"/>
      <c r="AP224" s="666"/>
    </row>
    <row r="225" spans="2:42" ht="30">
      <c r="B225" s="303" t="s">
        <v>1013</v>
      </c>
      <c r="C225" s="376" t="s">
        <v>1108</v>
      </c>
      <c r="D225" s="468" t="s">
        <v>928</v>
      </c>
      <c r="E225" s="470" t="s">
        <v>929</v>
      </c>
      <c r="F225" s="270"/>
      <c r="G225" s="731"/>
      <c r="H225" s="727">
        <v>425613.45</v>
      </c>
      <c r="I225" s="265">
        <v>0</v>
      </c>
      <c r="J225" s="265">
        <v>0</v>
      </c>
      <c r="K225" s="265">
        <v>0</v>
      </c>
      <c r="L225" s="265">
        <v>0</v>
      </c>
      <c r="M225" s="481">
        <f t="shared" si="55"/>
        <v>425613.45</v>
      </c>
      <c r="N225" s="466">
        <v>425613.45</v>
      </c>
      <c r="O225" s="433"/>
      <c r="P225" s="433"/>
      <c r="Q225" s="433"/>
      <c r="R225" s="433"/>
      <c r="S225" s="466">
        <f t="shared" si="64"/>
        <v>425613.45</v>
      </c>
      <c r="T225" s="466">
        <f t="shared" si="65"/>
        <v>0</v>
      </c>
      <c r="U225" s="372"/>
      <c r="V225" s="372"/>
      <c r="W225" s="372"/>
      <c r="X225" s="372"/>
      <c r="Y225" s="466"/>
      <c r="Z225" s="467"/>
      <c r="AA225" s="467"/>
      <c r="AB225" s="467"/>
      <c r="AC225" s="467"/>
      <c r="AD225" s="467"/>
      <c r="AE225" s="467"/>
      <c r="AP225" s="666"/>
    </row>
    <row r="226" spans="2:42" ht="30">
      <c r="B226" s="303" t="s">
        <v>1014</v>
      </c>
      <c r="C226" s="376" t="s">
        <v>1108</v>
      </c>
      <c r="D226" s="468" t="s">
        <v>930</v>
      </c>
      <c r="E226" s="470" t="s">
        <v>931</v>
      </c>
      <c r="F226" s="270"/>
      <c r="G226" s="731"/>
      <c r="H226" s="727">
        <v>289710.73</v>
      </c>
      <c r="I226" s="265">
        <v>0</v>
      </c>
      <c r="J226" s="265">
        <v>0</v>
      </c>
      <c r="K226" s="265">
        <v>0</v>
      </c>
      <c r="L226" s="265">
        <v>0</v>
      </c>
      <c r="M226" s="481">
        <f t="shared" si="55"/>
        <v>289710.73</v>
      </c>
      <c r="N226" s="466">
        <v>289710.73</v>
      </c>
      <c r="O226" s="433"/>
      <c r="P226" s="433"/>
      <c r="Q226" s="433"/>
      <c r="R226" s="433"/>
      <c r="S226" s="466">
        <f t="shared" si="64"/>
        <v>289710.73</v>
      </c>
      <c r="T226" s="466">
        <f t="shared" si="65"/>
        <v>0</v>
      </c>
      <c r="U226" s="372"/>
      <c r="V226" s="372"/>
      <c r="W226" s="372"/>
      <c r="X226" s="372"/>
      <c r="Y226" s="466"/>
      <c r="Z226" s="467"/>
      <c r="AA226" s="467"/>
      <c r="AB226" s="467"/>
      <c r="AC226" s="467"/>
      <c r="AD226" s="467"/>
      <c r="AE226" s="467"/>
      <c r="AP226" s="666"/>
    </row>
    <row r="227" spans="2:42" ht="30">
      <c r="B227" s="303" t="s">
        <v>1015</v>
      </c>
      <c r="C227" s="376" t="s">
        <v>1108</v>
      </c>
      <c r="D227" s="468" t="s">
        <v>932</v>
      </c>
      <c r="E227" s="470" t="s">
        <v>933</v>
      </c>
      <c r="F227" s="507"/>
      <c r="G227" s="749"/>
      <c r="H227" s="727">
        <v>117594.34</v>
      </c>
      <c r="I227" s="265">
        <v>0</v>
      </c>
      <c r="J227" s="265">
        <v>0</v>
      </c>
      <c r="K227" s="265">
        <v>0</v>
      </c>
      <c r="L227" s="265">
        <v>0</v>
      </c>
      <c r="M227" s="481">
        <f t="shared" si="55"/>
        <v>117594.34</v>
      </c>
      <c r="N227" s="466">
        <v>117594.34</v>
      </c>
      <c r="O227" s="433"/>
      <c r="P227" s="433"/>
      <c r="Q227" s="433"/>
      <c r="R227" s="433"/>
      <c r="S227" s="466">
        <f t="shared" si="64"/>
        <v>117594.34</v>
      </c>
      <c r="T227" s="466">
        <f t="shared" si="65"/>
        <v>0</v>
      </c>
      <c r="U227" s="372"/>
      <c r="V227" s="372"/>
      <c r="W227" s="372"/>
      <c r="X227" s="372"/>
      <c r="Y227" s="466"/>
      <c r="Z227" s="467"/>
      <c r="AA227" s="467"/>
      <c r="AB227" s="467"/>
      <c r="AC227" s="467"/>
      <c r="AD227" s="467"/>
      <c r="AE227" s="467"/>
      <c r="AP227" s="666"/>
    </row>
    <row r="228" spans="2:42" ht="60">
      <c r="B228" s="303" t="s">
        <v>1016</v>
      </c>
      <c r="C228" s="376" t="s">
        <v>1115</v>
      </c>
      <c r="D228" s="468" t="s">
        <v>934</v>
      </c>
      <c r="E228" s="470" t="s">
        <v>66</v>
      </c>
      <c r="F228" s="531"/>
      <c r="G228" s="747"/>
      <c r="H228" s="729">
        <f>1000000+300049.78</f>
        <v>1300049.78</v>
      </c>
      <c r="I228" s="265">
        <v>0</v>
      </c>
      <c r="J228" s="265">
        <v>0</v>
      </c>
      <c r="K228" s="265">
        <v>0</v>
      </c>
      <c r="L228" s="265">
        <v>0</v>
      </c>
      <c r="M228" s="481">
        <f t="shared" si="55"/>
        <v>1300049.78</v>
      </c>
      <c r="N228" s="433"/>
      <c r="O228" s="433"/>
      <c r="P228" s="433"/>
      <c r="Q228" s="433"/>
      <c r="R228" s="433"/>
      <c r="S228" s="466">
        <f t="shared" si="64"/>
        <v>0</v>
      </c>
      <c r="T228" s="466">
        <f t="shared" si="65"/>
        <v>1300049.78</v>
      </c>
      <c r="U228" s="372"/>
      <c r="V228" s="372"/>
      <c r="W228" s="372"/>
      <c r="X228" s="372"/>
      <c r="Y228" s="466"/>
      <c r="Z228" s="467">
        <v>1263785</v>
      </c>
      <c r="AA228" s="467">
        <v>0</v>
      </c>
      <c r="AB228" s="467">
        <v>0</v>
      </c>
      <c r="AC228" s="467">
        <v>0</v>
      </c>
      <c r="AD228" s="467">
        <v>0</v>
      </c>
      <c r="AE228" s="467">
        <f>SUM(Z228:AD228)</f>
        <v>1263785</v>
      </c>
      <c r="AF228" s="719">
        <f>H228-Z228</f>
        <v>36264.780000000028</v>
      </c>
      <c r="AP228" s="666" t="s">
        <v>1404</v>
      </c>
    </row>
    <row r="229" spans="2:42" ht="36">
      <c r="B229" s="303" t="s">
        <v>1017</v>
      </c>
      <c r="C229" s="376" t="s">
        <v>1159</v>
      </c>
      <c r="D229" s="516" t="s">
        <v>1090</v>
      </c>
      <c r="E229" s="470" t="s">
        <v>42</v>
      </c>
      <c r="F229" s="270"/>
      <c r="G229" s="731"/>
      <c r="H229" s="729">
        <f>500000+62285.74</f>
        <v>562285.74</v>
      </c>
      <c r="I229" s="265">
        <v>0</v>
      </c>
      <c r="J229" s="265">
        <v>0</v>
      </c>
      <c r="K229" s="265">
        <v>0</v>
      </c>
      <c r="L229" s="265">
        <v>0</v>
      </c>
      <c r="M229" s="481">
        <f t="shared" si="55"/>
        <v>562285.74</v>
      </c>
      <c r="N229" s="466">
        <v>217508.31</v>
      </c>
      <c r="O229" s="433"/>
      <c r="P229" s="433"/>
      <c r="Q229" s="433"/>
      <c r="R229" s="433"/>
      <c r="S229" s="466">
        <f t="shared" si="64"/>
        <v>217508.31</v>
      </c>
      <c r="T229" s="466">
        <f t="shared" si="65"/>
        <v>344777.43</v>
      </c>
      <c r="U229" s="372"/>
      <c r="V229" s="372"/>
      <c r="W229" s="372"/>
      <c r="X229" s="372"/>
      <c r="Y229" s="466"/>
      <c r="Z229" s="467">
        <v>469384.19</v>
      </c>
      <c r="AA229" s="467">
        <v>0</v>
      </c>
      <c r="AB229" s="467">
        <v>0</v>
      </c>
      <c r="AC229" s="467">
        <v>0</v>
      </c>
      <c r="AD229" s="467">
        <v>0</v>
      </c>
      <c r="AE229" s="467">
        <f>SUM(Z229:AD229)</f>
        <v>469384.19</v>
      </c>
      <c r="AF229" s="719">
        <f>H229-Z229</f>
        <v>92901.549999999988</v>
      </c>
      <c r="AP229" s="666" t="s">
        <v>1404</v>
      </c>
    </row>
    <row r="230" spans="2:42" ht="30">
      <c r="B230" s="303" t="s">
        <v>1018</v>
      </c>
      <c r="C230" s="376" t="s">
        <v>1108</v>
      </c>
      <c r="D230" s="468" t="s">
        <v>935</v>
      </c>
      <c r="E230" s="470" t="s">
        <v>67</v>
      </c>
      <c r="F230" s="270"/>
      <c r="G230" s="731"/>
      <c r="H230" s="728">
        <v>354594.85</v>
      </c>
      <c r="I230" s="265">
        <v>0</v>
      </c>
      <c r="J230" s="265">
        <v>0</v>
      </c>
      <c r="K230" s="265">
        <v>0</v>
      </c>
      <c r="L230" s="265">
        <v>0</v>
      </c>
      <c r="M230" s="481">
        <f t="shared" si="55"/>
        <v>354594.85</v>
      </c>
      <c r="N230" s="466">
        <v>354594.85</v>
      </c>
      <c r="O230" s="433"/>
      <c r="P230" s="433"/>
      <c r="Q230" s="433"/>
      <c r="R230" s="433"/>
      <c r="S230" s="466">
        <f t="shared" si="64"/>
        <v>354594.85</v>
      </c>
      <c r="T230" s="466">
        <f t="shared" si="65"/>
        <v>0</v>
      </c>
      <c r="U230" s="372"/>
      <c r="V230" s="372"/>
      <c r="W230" s="372"/>
      <c r="X230" s="372"/>
      <c r="Y230" s="466"/>
      <c r="Z230" s="467"/>
      <c r="AA230" s="467"/>
      <c r="AB230" s="467"/>
      <c r="AC230" s="467"/>
      <c r="AD230" s="467"/>
      <c r="AE230" s="467"/>
      <c r="AP230" s="666"/>
    </row>
    <row r="231" spans="2:42" ht="30">
      <c r="B231" s="303" t="s">
        <v>1019</v>
      </c>
      <c r="C231" s="376" t="s">
        <v>1108</v>
      </c>
      <c r="D231" s="468" t="s">
        <v>936</v>
      </c>
      <c r="E231" s="470" t="s">
        <v>59</v>
      </c>
      <c r="F231" s="527"/>
      <c r="G231" s="750"/>
      <c r="H231" s="728">
        <v>175364.66</v>
      </c>
      <c r="I231" s="265">
        <v>0</v>
      </c>
      <c r="J231" s="265">
        <v>0</v>
      </c>
      <c r="K231" s="265">
        <v>0</v>
      </c>
      <c r="L231" s="265">
        <v>0</v>
      </c>
      <c r="M231" s="481">
        <f t="shared" si="55"/>
        <v>175364.66</v>
      </c>
      <c r="N231" s="466">
        <v>175364.66</v>
      </c>
      <c r="O231" s="433"/>
      <c r="P231" s="433"/>
      <c r="Q231" s="433"/>
      <c r="R231" s="433"/>
      <c r="S231" s="466">
        <f t="shared" si="64"/>
        <v>175364.66</v>
      </c>
      <c r="T231" s="466">
        <f t="shared" si="65"/>
        <v>0</v>
      </c>
      <c r="U231" s="372"/>
      <c r="V231" s="372"/>
      <c r="W231" s="372"/>
      <c r="X231" s="372"/>
      <c r="Y231" s="466"/>
      <c r="Z231" s="467"/>
      <c r="AA231" s="467"/>
      <c r="AB231" s="467"/>
      <c r="AC231" s="467"/>
      <c r="AD231" s="467"/>
      <c r="AE231" s="467"/>
      <c r="AP231" s="666"/>
    </row>
    <row r="232" spans="2:42" ht="60">
      <c r="B232" s="503" t="s">
        <v>1020</v>
      </c>
      <c r="C232" s="376" t="s">
        <v>1417</v>
      </c>
      <c r="D232" s="505" t="s">
        <v>1024</v>
      </c>
      <c r="E232" s="461" t="s">
        <v>67</v>
      </c>
      <c r="F232" s="527"/>
      <c r="G232" s="750"/>
      <c r="H232" s="728">
        <f>29494.18+125298.91</f>
        <v>154793.09</v>
      </c>
      <c r="I232" s="265">
        <v>0</v>
      </c>
      <c r="J232" s="265">
        <v>0</v>
      </c>
      <c r="K232" s="481">
        <f>188219.82-120977.97</f>
        <v>67241.850000000006</v>
      </c>
      <c r="L232" s="265">
        <v>0</v>
      </c>
      <c r="M232" s="481">
        <f t="shared" si="55"/>
        <v>222034.94</v>
      </c>
      <c r="N232" s="466">
        <v>154793.09</v>
      </c>
      <c r="O232" s="433"/>
      <c r="P232" s="433"/>
      <c r="Q232" s="433"/>
      <c r="R232" s="433"/>
      <c r="S232" s="466">
        <f t="shared" si="64"/>
        <v>154793.09</v>
      </c>
      <c r="T232" s="466">
        <f t="shared" si="65"/>
        <v>0</v>
      </c>
      <c r="U232" s="372"/>
      <c r="V232" s="372"/>
      <c r="W232" s="372"/>
      <c r="X232" s="372"/>
      <c r="Y232" s="466"/>
      <c r="Z232" s="467"/>
      <c r="AA232" s="467"/>
      <c r="AB232" s="467"/>
      <c r="AC232" s="467"/>
      <c r="AD232" s="467"/>
      <c r="AE232" s="467"/>
      <c r="AP232" s="666"/>
    </row>
    <row r="233" spans="2:42" ht="72">
      <c r="B233" s="504" t="s">
        <v>1021</v>
      </c>
      <c r="C233" s="376" t="s">
        <v>1417</v>
      </c>
      <c r="D233" s="506" t="s">
        <v>1025</v>
      </c>
      <c r="E233" s="470" t="s">
        <v>1028</v>
      </c>
      <c r="F233" s="270"/>
      <c r="G233" s="731"/>
      <c r="H233" s="471">
        <v>0</v>
      </c>
      <c r="I233" s="265">
        <v>0</v>
      </c>
      <c r="J233" s="265">
        <v>0</v>
      </c>
      <c r="K233" s="481">
        <f>550513+27552.75</f>
        <v>578065.75</v>
      </c>
      <c r="L233" s="265">
        <v>0</v>
      </c>
      <c r="M233" s="481">
        <f t="shared" si="55"/>
        <v>578065.75</v>
      </c>
      <c r="N233" s="433"/>
      <c r="O233" s="433"/>
      <c r="P233" s="433"/>
      <c r="Q233" s="433"/>
      <c r="R233" s="433"/>
      <c r="S233" s="466">
        <f t="shared" si="64"/>
        <v>0</v>
      </c>
      <c r="T233" s="466">
        <f t="shared" si="65"/>
        <v>0</v>
      </c>
      <c r="U233" s="372"/>
      <c r="V233" s="372"/>
      <c r="W233" s="372"/>
      <c r="X233" s="372"/>
      <c r="Y233" s="466"/>
      <c r="Z233" s="467"/>
      <c r="AA233" s="467"/>
      <c r="AB233" s="467"/>
      <c r="AC233" s="467"/>
      <c r="AD233" s="467"/>
      <c r="AE233" s="467"/>
      <c r="AP233" s="666"/>
    </row>
    <row r="234" spans="2:42" ht="72">
      <c r="B234" s="503" t="s">
        <v>1022</v>
      </c>
      <c r="C234" s="376" t="s">
        <v>1417</v>
      </c>
      <c r="D234" s="505" t="s">
        <v>1026</v>
      </c>
      <c r="E234" s="461" t="s">
        <v>931</v>
      </c>
      <c r="F234" s="270"/>
      <c r="G234" s="731"/>
      <c r="H234" s="471">
        <v>0</v>
      </c>
      <c r="I234" s="265">
        <v>0</v>
      </c>
      <c r="J234" s="265">
        <v>0</v>
      </c>
      <c r="K234" s="481">
        <f>316684+47615.18</f>
        <v>364299.18</v>
      </c>
      <c r="L234" s="265">
        <v>0</v>
      </c>
      <c r="M234" s="481">
        <f t="shared" si="55"/>
        <v>364299.18</v>
      </c>
      <c r="N234" s="433"/>
      <c r="O234" s="433"/>
      <c r="P234" s="433"/>
      <c r="Q234" s="433"/>
      <c r="R234" s="433"/>
      <c r="S234" s="466">
        <f t="shared" si="64"/>
        <v>0</v>
      </c>
      <c r="T234" s="466">
        <f t="shared" si="65"/>
        <v>0</v>
      </c>
      <c r="U234" s="372"/>
      <c r="V234" s="372"/>
      <c r="W234" s="372"/>
      <c r="X234" s="372"/>
      <c r="Y234" s="466"/>
      <c r="Z234" s="467"/>
      <c r="AA234" s="467"/>
      <c r="AB234" s="467"/>
      <c r="AC234" s="467"/>
      <c r="AD234" s="467"/>
      <c r="AE234" s="467"/>
      <c r="AP234" s="666"/>
    </row>
    <row r="235" spans="2:42" ht="60">
      <c r="B235" s="504" t="s">
        <v>1023</v>
      </c>
      <c r="C235" s="376" t="s">
        <v>1417</v>
      </c>
      <c r="D235" s="506" t="s">
        <v>1027</v>
      </c>
      <c r="E235" s="470" t="s">
        <v>65</v>
      </c>
      <c r="F235" s="448"/>
      <c r="G235" s="731"/>
      <c r="H235" s="265">
        <v>0</v>
      </c>
      <c r="I235" s="265">
        <v>0</v>
      </c>
      <c r="J235" s="265">
        <v>0</v>
      </c>
      <c r="K235" s="481">
        <f>565029+45810.04</f>
        <v>610839.04000000004</v>
      </c>
      <c r="L235" s="265">
        <v>0</v>
      </c>
      <c r="M235" s="481">
        <f t="shared" si="55"/>
        <v>610839.04000000004</v>
      </c>
      <c r="N235" s="433"/>
      <c r="O235" s="433"/>
      <c r="P235" s="433"/>
      <c r="Q235" s="433"/>
      <c r="R235" s="433"/>
      <c r="S235" s="466">
        <f t="shared" si="64"/>
        <v>0</v>
      </c>
      <c r="T235" s="466">
        <f t="shared" si="65"/>
        <v>0</v>
      </c>
      <c r="U235" s="372"/>
      <c r="V235" s="372"/>
      <c r="W235" s="372"/>
      <c r="X235" s="372"/>
      <c r="Y235" s="466"/>
      <c r="Z235" s="467"/>
      <c r="AA235" s="467"/>
      <c r="AB235" s="467"/>
      <c r="AC235" s="467"/>
      <c r="AD235" s="467"/>
      <c r="AE235" s="467"/>
      <c r="AP235" s="666"/>
    </row>
    <row r="236" spans="2:42" ht="90">
      <c r="B236" s="504">
        <v>1.22</v>
      </c>
      <c r="C236" s="376" t="s">
        <v>1418</v>
      </c>
      <c r="D236" s="505" t="s">
        <v>1091</v>
      </c>
      <c r="E236" s="517" t="s">
        <v>1092</v>
      </c>
      <c r="F236" s="560"/>
      <c r="G236" s="558"/>
      <c r="H236" s="518">
        <v>0</v>
      </c>
      <c r="I236" s="518">
        <v>0</v>
      </c>
      <c r="J236" s="518">
        <v>101932.1</v>
      </c>
      <c r="K236" s="518">
        <v>101932.1</v>
      </c>
      <c r="L236" s="518">
        <v>143908.24</v>
      </c>
      <c r="M236" s="481">
        <f t="shared" si="55"/>
        <v>347772.44</v>
      </c>
      <c r="N236" s="433"/>
      <c r="O236" s="433"/>
      <c r="P236" s="433"/>
      <c r="Q236" s="433"/>
      <c r="R236" s="433"/>
      <c r="S236" s="466"/>
      <c r="T236" s="466"/>
      <c r="U236" s="372"/>
      <c r="V236" s="372"/>
      <c r="W236" s="372"/>
      <c r="X236" s="372"/>
      <c r="Y236" s="466"/>
      <c r="Z236" s="467"/>
      <c r="AA236" s="467"/>
      <c r="AB236" s="467"/>
      <c r="AC236" s="467"/>
      <c r="AD236" s="467"/>
      <c r="AE236" s="467"/>
      <c r="AP236" s="666"/>
    </row>
    <row r="237" spans="2:42" ht="72">
      <c r="B237" s="504">
        <v>1.23</v>
      </c>
      <c r="C237" s="376" t="s">
        <v>1342</v>
      </c>
      <c r="D237" s="506" t="s">
        <v>1343</v>
      </c>
      <c r="E237" s="506" t="s">
        <v>1344</v>
      </c>
      <c r="F237" s="691" t="s">
        <v>1451</v>
      </c>
      <c r="G237" s="791" t="s">
        <v>1501</v>
      </c>
      <c r="H237" s="616">
        <v>0</v>
      </c>
      <c r="I237" s="616">
        <f>200000+11871.03</f>
        <v>211871.03</v>
      </c>
      <c r="J237" s="616">
        <v>0</v>
      </c>
      <c r="K237" s="616">
        <v>0</v>
      </c>
      <c r="L237" s="616">
        <v>0</v>
      </c>
      <c r="M237" s="481">
        <f t="shared" si="55"/>
        <v>211871.03</v>
      </c>
      <c r="N237" s="433"/>
      <c r="O237" s="433"/>
      <c r="P237" s="433"/>
      <c r="Q237" s="433"/>
      <c r="R237" s="433"/>
      <c r="S237" s="466"/>
      <c r="T237" s="466"/>
      <c r="U237" s="372"/>
      <c r="V237" s="372"/>
      <c r="W237" s="372"/>
      <c r="X237" s="372"/>
      <c r="Y237" s="466"/>
      <c r="Z237" s="467"/>
      <c r="AA237" s="467"/>
      <c r="AB237" s="467"/>
      <c r="AC237" s="467"/>
      <c r="AD237" s="467"/>
      <c r="AE237" s="467"/>
      <c r="AF237" s="806">
        <v>11871.03</v>
      </c>
      <c r="AP237" s="666"/>
    </row>
    <row r="238" spans="2:42" ht="54">
      <c r="B238" s="504">
        <v>1.24</v>
      </c>
      <c r="C238" s="376" t="s">
        <v>1345</v>
      </c>
      <c r="D238" s="506" t="s">
        <v>1346</v>
      </c>
      <c r="E238" s="506" t="s">
        <v>1347</v>
      </c>
      <c r="F238" s="615">
        <v>0</v>
      </c>
      <c r="G238" s="730"/>
      <c r="H238" s="616">
        <v>0</v>
      </c>
      <c r="I238" s="616">
        <v>13587.34</v>
      </c>
      <c r="J238" s="616">
        <v>0</v>
      </c>
      <c r="K238" s="616">
        <v>0</v>
      </c>
      <c r="L238" s="616">
        <v>0</v>
      </c>
      <c r="M238" s="481">
        <f t="shared" si="55"/>
        <v>13587.34</v>
      </c>
      <c r="N238" s="433"/>
      <c r="O238" s="433"/>
      <c r="P238" s="433"/>
      <c r="Q238" s="433"/>
      <c r="R238" s="433"/>
      <c r="S238" s="466"/>
      <c r="T238" s="466"/>
      <c r="U238" s="372"/>
      <c r="V238" s="372"/>
      <c r="W238" s="372"/>
      <c r="X238" s="372"/>
      <c r="Y238" s="466"/>
      <c r="Z238" s="467"/>
      <c r="AA238" s="467"/>
      <c r="AB238" s="467"/>
      <c r="AC238" s="467"/>
      <c r="AD238" s="467"/>
      <c r="AE238" s="467"/>
      <c r="AP238" s="666" t="s">
        <v>1404</v>
      </c>
    </row>
    <row r="239" spans="2:42" ht="54">
      <c r="B239" s="504">
        <v>1.25</v>
      </c>
      <c r="C239" s="376" t="s">
        <v>1348</v>
      </c>
      <c r="D239" s="506" t="s">
        <v>1349</v>
      </c>
      <c r="E239" s="506" t="s">
        <v>1347</v>
      </c>
      <c r="F239" s="615">
        <v>0</v>
      </c>
      <c r="G239" s="730"/>
      <c r="H239" s="616">
        <v>0</v>
      </c>
      <c r="I239" s="616">
        <v>11611.46</v>
      </c>
      <c r="J239" s="616">
        <v>0</v>
      </c>
      <c r="K239" s="616">
        <v>0</v>
      </c>
      <c r="L239" s="616">
        <v>0</v>
      </c>
      <c r="M239" s="481">
        <f t="shared" si="55"/>
        <v>11611.46</v>
      </c>
      <c r="N239" s="433"/>
      <c r="O239" s="433"/>
      <c r="P239" s="433"/>
      <c r="Q239" s="433"/>
      <c r="R239" s="433"/>
      <c r="S239" s="466"/>
      <c r="T239" s="466"/>
      <c r="U239" s="372"/>
      <c r="V239" s="372"/>
      <c r="W239" s="372"/>
      <c r="X239" s="372"/>
      <c r="Y239" s="466"/>
      <c r="Z239" s="467"/>
      <c r="AA239" s="467"/>
      <c r="AB239" s="467"/>
      <c r="AC239" s="467"/>
      <c r="AD239" s="467"/>
      <c r="AE239" s="467"/>
      <c r="AP239" s="666" t="s">
        <v>1404</v>
      </c>
    </row>
    <row r="240" spans="2:42" ht="54">
      <c r="B240" s="504">
        <v>1.26</v>
      </c>
      <c r="C240" s="376" t="s">
        <v>1350</v>
      </c>
      <c r="D240" s="506" t="s">
        <v>1351</v>
      </c>
      <c r="E240" s="506" t="s">
        <v>1347</v>
      </c>
      <c r="F240" s="615">
        <v>0</v>
      </c>
      <c r="G240" s="730"/>
      <c r="H240" s="616">
        <v>0</v>
      </c>
      <c r="I240" s="616">
        <v>11291.58</v>
      </c>
      <c r="J240" s="616">
        <v>0</v>
      </c>
      <c r="K240" s="616">
        <v>0</v>
      </c>
      <c r="L240" s="616">
        <v>0</v>
      </c>
      <c r="M240" s="481">
        <f t="shared" si="55"/>
        <v>11291.58</v>
      </c>
      <c r="N240" s="433"/>
      <c r="O240" s="433"/>
      <c r="P240" s="433"/>
      <c r="Q240" s="433"/>
      <c r="R240" s="433"/>
      <c r="S240" s="466"/>
      <c r="T240" s="466"/>
      <c r="U240" s="372"/>
      <c r="V240" s="372"/>
      <c r="W240" s="372"/>
      <c r="X240" s="372"/>
      <c r="Y240" s="466"/>
      <c r="Z240" s="467"/>
      <c r="AA240" s="467"/>
      <c r="AB240" s="467"/>
      <c r="AC240" s="467"/>
      <c r="AD240" s="467"/>
      <c r="AE240" s="467"/>
      <c r="AP240" s="666" t="s">
        <v>1404</v>
      </c>
    </row>
    <row r="241" spans="1:42" ht="72">
      <c r="B241" s="504">
        <v>1.27</v>
      </c>
      <c r="C241" s="376" t="s">
        <v>1214</v>
      </c>
      <c r="D241" s="506" t="s">
        <v>1352</v>
      </c>
      <c r="E241" s="506" t="s">
        <v>1353</v>
      </c>
      <c r="F241" s="615">
        <v>0</v>
      </c>
      <c r="G241" s="730"/>
      <c r="H241" s="616">
        <v>0</v>
      </c>
      <c r="I241" s="616">
        <v>98851.06</v>
      </c>
      <c r="J241" s="616">
        <v>0</v>
      </c>
      <c r="K241" s="616">
        <v>0</v>
      </c>
      <c r="L241" s="616">
        <v>0</v>
      </c>
      <c r="M241" s="481">
        <f t="shared" si="55"/>
        <v>98851.06</v>
      </c>
      <c r="N241" s="433"/>
      <c r="O241" s="433"/>
      <c r="P241" s="433"/>
      <c r="Q241" s="433"/>
      <c r="R241" s="433"/>
      <c r="S241" s="466"/>
      <c r="T241" s="466"/>
      <c r="U241" s="372"/>
      <c r="V241" s="372"/>
      <c r="W241" s="372"/>
      <c r="X241" s="372"/>
      <c r="Y241" s="466"/>
      <c r="Z241" s="467"/>
      <c r="AA241" s="467"/>
      <c r="AB241" s="467"/>
      <c r="AC241" s="467"/>
      <c r="AD241" s="467"/>
      <c r="AE241" s="467"/>
      <c r="AP241" s="666" t="s">
        <v>1406</v>
      </c>
    </row>
    <row r="242" spans="1:42" ht="16.5" thickBot="1">
      <c r="B242" s="48" t="s">
        <v>29</v>
      </c>
      <c r="C242" s="48"/>
      <c r="D242" s="254" t="s">
        <v>6</v>
      </c>
      <c r="E242" s="49"/>
      <c r="F242" s="448" t="s">
        <v>29</v>
      </c>
      <c r="G242" s="792"/>
      <c r="H242" s="49">
        <f t="shared" ref="H242:M242" si="66">SUM(H179:H241)</f>
        <v>45254768.120000005</v>
      </c>
      <c r="I242" s="49">
        <f t="shared" si="66"/>
        <v>457660.85000000009</v>
      </c>
      <c r="J242" s="49">
        <f t="shared" si="66"/>
        <v>642732.1</v>
      </c>
      <c r="K242" s="49">
        <f t="shared" si="66"/>
        <v>16918737.630000003</v>
      </c>
      <c r="L242" s="49">
        <f t="shared" si="66"/>
        <v>143908.24</v>
      </c>
      <c r="M242" s="49">
        <f t="shared" si="66"/>
        <v>63417806.939999998</v>
      </c>
      <c r="N242" s="49">
        <f>SUM(N179:N241)</f>
        <v>31084243.219999995</v>
      </c>
      <c r="O242" s="49">
        <f t="shared" ref="O242:S242" si="67">SUM(O179:O241)</f>
        <v>41194.43</v>
      </c>
      <c r="P242" s="49">
        <f t="shared" si="67"/>
        <v>100000</v>
      </c>
      <c r="Q242" s="49">
        <f t="shared" si="67"/>
        <v>7464673.6400000006</v>
      </c>
      <c r="R242" s="49">
        <f t="shared" si="67"/>
        <v>0</v>
      </c>
      <c r="S242" s="49">
        <f t="shared" si="67"/>
        <v>38690111.290000014</v>
      </c>
      <c r="T242" s="49">
        <f t="shared" ref="T242:AE242" si="68">SUM(T179:T215)</f>
        <v>3339240.9600000009</v>
      </c>
      <c r="U242" s="49">
        <f t="shared" si="68"/>
        <v>0</v>
      </c>
      <c r="V242" s="49">
        <f t="shared" si="68"/>
        <v>0</v>
      </c>
      <c r="W242" s="49">
        <f t="shared" si="68"/>
        <v>1514498.0700000003</v>
      </c>
      <c r="X242" s="49">
        <f t="shared" si="68"/>
        <v>0</v>
      </c>
      <c r="Y242" s="49">
        <f t="shared" si="68"/>
        <v>4853739.03</v>
      </c>
      <c r="Z242" s="49">
        <f t="shared" si="68"/>
        <v>21551498.869999994</v>
      </c>
      <c r="AA242" s="49">
        <f t="shared" si="68"/>
        <v>310448.38</v>
      </c>
      <c r="AB242" s="49">
        <f t="shared" si="68"/>
        <v>100000</v>
      </c>
      <c r="AC242" s="49">
        <f t="shared" si="68"/>
        <v>11805848.4</v>
      </c>
      <c r="AD242" s="49">
        <f t="shared" si="68"/>
        <v>0</v>
      </c>
      <c r="AE242" s="49">
        <f t="shared" si="68"/>
        <v>33767795.649999999</v>
      </c>
      <c r="AP242" s="666"/>
    </row>
    <row r="243" spans="1:42" ht="15.75">
      <c r="B243" s="24"/>
      <c r="C243" s="227"/>
      <c r="D243" s="50"/>
      <c r="E243" s="50"/>
      <c r="F243" s="449"/>
      <c r="G243" s="592"/>
      <c r="M243" s="40"/>
      <c r="N243" s="230"/>
      <c r="O243" s="230"/>
      <c r="P243" s="230"/>
      <c r="Q243" s="230"/>
      <c r="R243" s="230"/>
      <c r="S243" s="230"/>
      <c r="T243" s="231"/>
      <c r="U243" s="231"/>
      <c r="V243" s="231"/>
      <c r="W243" s="231"/>
      <c r="X243" s="231"/>
      <c r="Y243" s="231"/>
      <c r="Z243" s="231"/>
      <c r="AA243" s="231"/>
      <c r="AB243" s="231"/>
      <c r="AC243" s="231"/>
      <c r="AD243" s="231"/>
      <c r="AE243" s="231"/>
      <c r="AF243" s="719">
        <f>AF31+AF32+AF42+AF43+AF47+AF49+AF50+AF51+AF54+AF141+AF156+AF157+AF180+AF192+AF197+AF201+AF209+AF210+AF211+AF213+AF217+AF228+AF229</f>
        <v>870618.6399999999</v>
      </c>
      <c r="AP243" s="666"/>
    </row>
    <row r="244" spans="1:42" ht="15.75">
      <c r="B244" s="24"/>
      <c r="C244" s="227"/>
      <c r="F244" s="228"/>
      <c r="G244" s="592"/>
      <c r="H244" s="51"/>
      <c r="I244" s="51"/>
      <c r="J244" s="51"/>
      <c r="K244" s="51"/>
      <c r="L244" s="51"/>
      <c r="M244" s="40"/>
      <c r="N244" s="230"/>
      <c r="O244" s="230"/>
      <c r="P244" s="230"/>
      <c r="Q244" s="230"/>
      <c r="R244" s="230"/>
      <c r="S244" s="230"/>
      <c r="T244" s="231"/>
      <c r="U244" s="231"/>
      <c r="V244" s="231"/>
      <c r="W244" s="231"/>
      <c r="X244" s="231"/>
      <c r="Y244" s="231"/>
      <c r="Z244" s="231"/>
      <c r="AA244" s="231"/>
      <c r="AB244" s="231"/>
      <c r="AC244" s="231"/>
      <c r="AD244" s="231"/>
      <c r="AE244" s="231"/>
      <c r="AF244" s="725">
        <f>AF15+AF53+AF136+AF214+AF35+AF36</f>
        <v>391980.17000000004</v>
      </c>
      <c r="AP244" s="666"/>
    </row>
    <row r="245" spans="1:42" ht="15.75">
      <c r="B245" s="24"/>
      <c r="C245" s="227"/>
      <c r="F245" s="228"/>
      <c r="G245" s="592"/>
      <c r="H245" s="51"/>
      <c r="I245" s="51"/>
      <c r="J245" s="51"/>
      <c r="K245" s="51"/>
      <c r="L245" s="51"/>
      <c r="M245" s="40"/>
      <c r="N245" s="230"/>
      <c r="O245" s="230"/>
      <c r="P245" s="230"/>
      <c r="Q245" s="230"/>
      <c r="R245" s="230"/>
      <c r="S245" s="230"/>
      <c r="T245" s="231"/>
      <c r="U245" s="231"/>
      <c r="V245" s="231"/>
      <c r="W245" s="231"/>
      <c r="X245" s="231"/>
      <c r="Y245" s="231"/>
      <c r="Z245" s="231"/>
      <c r="AA245" s="231"/>
      <c r="AB245" s="231"/>
      <c r="AC245" s="231"/>
      <c r="AD245" s="231"/>
      <c r="AE245" s="231"/>
      <c r="AF245" s="719">
        <f>AF243-AF244</f>
        <v>478638.46999999986</v>
      </c>
      <c r="AG245" s="182"/>
      <c r="AH245" s="182"/>
      <c r="AP245" s="666"/>
    </row>
    <row r="246" spans="1:42" ht="15.75">
      <c r="B246" s="24"/>
      <c r="C246" s="227"/>
      <c r="F246" s="228"/>
      <c r="G246" s="592"/>
      <c r="H246" s="51"/>
      <c r="I246" s="51"/>
      <c r="J246" s="51"/>
      <c r="K246" s="51"/>
      <c r="L246" s="51"/>
      <c r="M246" s="40"/>
      <c r="N246" s="230"/>
      <c r="O246" s="230"/>
      <c r="P246" s="230"/>
      <c r="Q246" s="230"/>
      <c r="R246" s="230"/>
      <c r="S246" s="230"/>
      <c r="T246" s="231"/>
      <c r="U246" s="231"/>
      <c r="V246" s="231"/>
      <c r="W246" s="231"/>
      <c r="X246" s="231"/>
      <c r="Y246" s="231"/>
      <c r="Z246" s="231"/>
      <c r="AA246" s="231"/>
      <c r="AB246" s="231"/>
      <c r="AC246" s="231"/>
      <c r="AD246" s="231"/>
      <c r="AE246" s="231"/>
      <c r="AP246" s="666"/>
    </row>
    <row r="247" spans="1:42" ht="15.75">
      <c r="B247" s="24"/>
      <c r="C247" s="227"/>
      <c r="F247" s="228"/>
      <c r="G247" s="592"/>
      <c r="H247" s="51"/>
      <c r="I247" s="51"/>
      <c r="J247" s="51"/>
      <c r="K247" s="51"/>
      <c r="L247" s="51"/>
      <c r="M247" s="40"/>
      <c r="N247" s="230"/>
      <c r="O247" s="230"/>
      <c r="P247" s="230"/>
      <c r="Q247" s="230"/>
      <c r="R247" s="230"/>
      <c r="S247" s="230"/>
      <c r="T247" s="231"/>
      <c r="U247" s="231"/>
      <c r="V247" s="231"/>
      <c r="W247" s="231"/>
      <c r="X247" s="231"/>
      <c r="Y247" s="231"/>
      <c r="Z247" s="231"/>
      <c r="AA247" s="231"/>
      <c r="AB247" s="231"/>
      <c r="AC247" s="231"/>
      <c r="AD247" s="231"/>
      <c r="AE247" s="231"/>
      <c r="AF247" s="719">
        <f>AF31+AF32+AF50+AF156+AF197+AF201+AF209+AF210+AF211+AF213</f>
        <v>498034</v>
      </c>
      <c r="AG247" t="s">
        <v>1461</v>
      </c>
      <c r="AP247" s="666"/>
    </row>
    <row r="248" spans="1:42" ht="15.75">
      <c r="B248" s="24"/>
      <c r="C248" s="227"/>
      <c r="F248" s="228"/>
      <c r="G248" s="592"/>
      <c r="H248" s="51"/>
      <c r="I248" s="51"/>
      <c r="J248" s="51"/>
      <c r="K248" s="51"/>
      <c r="L248" s="51"/>
      <c r="M248" s="40"/>
      <c r="N248" s="230"/>
      <c r="O248" s="230"/>
      <c r="P248" s="230"/>
      <c r="Q248" s="230"/>
      <c r="R248" s="230"/>
      <c r="S248" s="230"/>
      <c r="T248" s="231"/>
      <c r="U248" s="231"/>
      <c r="V248" s="231"/>
      <c r="W248" s="231"/>
      <c r="X248" s="231"/>
      <c r="Y248" s="231"/>
      <c r="Z248" s="231"/>
      <c r="AA248" s="231"/>
      <c r="AB248" s="231"/>
      <c r="AC248" s="231"/>
      <c r="AD248" s="231"/>
      <c r="AE248" s="231"/>
      <c r="AF248" s="182">
        <f>AF247-AF244</f>
        <v>106053.82999999996</v>
      </c>
      <c r="AP248" s="666"/>
    </row>
    <row r="249" spans="1:42" ht="37.5">
      <c r="B249" s="100"/>
      <c r="C249" s="271"/>
      <c r="D249" s="102" t="s">
        <v>30</v>
      </c>
      <c r="E249" s="273"/>
      <c r="F249" s="272"/>
      <c r="G249" s="533"/>
      <c r="H249" s="107">
        <f>SUM(H250:H257)</f>
        <v>0</v>
      </c>
      <c r="I249" s="107">
        <f>SUM(I250:I260)</f>
        <v>10549434.059999999</v>
      </c>
      <c r="J249" s="107">
        <f>SUM(J250:J262)</f>
        <v>3942317.29</v>
      </c>
      <c r="K249" s="107">
        <f t="shared" ref="K249:L249" si="69">SUM(K250:K260)</f>
        <v>0</v>
      </c>
      <c r="L249" s="107">
        <f t="shared" si="69"/>
        <v>0</v>
      </c>
      <c r="M249" s="107">
        <f>SUM(H249:L249)</f>
        <v>14491751.349999998</v>
      </c>
      <c r="N249" s="418"/>
      <c r="O249" s="418"/>
      <c r="P249" s="418"/>
      <c r="Q249" s="418"/>
      <c r="R249" s="418"/>
      <c r="S249" s="418"/>
      <c r="T249" s="307"/>
      <c r="U249" s="307"/>
      <c r="V249" s="307"/>
      <c r="W249" s="307"/>
      <c r="X249" s="307"/>
      <c r="Y249" s="307"/>
      <c r="Z249" s="307"/>
      <c r="AA249" s="307"/>
      <c r="AB249" s="307"/>
      <c r="AC249" s="307"/>
      <c r="AD249" s="307"/>
      <c r="AE249" s="307"/>
      <c r="AP249" s="666"/>
    </row>
    <row r="250" spans="1:42" ht="18.75">
      <c r="B250" s="492">
        <v>1</v>
      </c>
      <c r="C250" s="247"/>
      <c r="D250" s="171" t="s">
        <v>31</v>
      </c>
      <c r="E250" s="274"/>
      <c r="F250" s="270"/>
      <c r="G250" s="533"/>
      <c r="H250" s="480">
        <v>0</v>
      </c>
      <c r="I250" s="155">
        <f>7612475.78-912475.78-1200000-216785-1550000-1183215-1550000-1000000+319448.26-319448.26</f>
        <v>0</v>
      </c>
      <c r="J250" s="155">
        <f>6287524.22-366785-637524.22-1477345.52-1750057.78-235049.12-22326.87-29320.96+643040-1501427.47-910203.47</f>
        <v>523.81000000005588</v>
      </c>
      <c r="K250" s="480">
        <v>0</v>
      </c>
      <c r="L250" s="480">
        <v>0</v>
      </c>
      <c r="M250" s="494">
        <f>SUM(H250:L250)</f>
        <v>523.81000000005588</v>
      </c>
      <c r="N250" s="418"/>
      <c r="O250" s="418"/>
      <c r="P250" s="418"/>
      <c r="Q250" s="418"/>
      <c r="R250" s="418"/>
      <c r="S250" s="418"/>
      <c r="T250" s="307"/>
      <c r="U250" s="307"/>
      <c r="V250" s="307"/>
      <c r="W250" s="307"/>
      <c r="X250" s="307"/>
      <c r="Y250" s="307"/>
      <c r="Z250" s="307"/>
      <c r="AA250" s="307"/>
      <c r="AB250" s="307"/>
      <c r="AC250" s="307"/>
      <c r="AD250" s="307"/>
      <c r="AE250" s="307"/>
      <c r="AP250" s="666"/>
    </row>
    <row r="251" spans="1:42" ht="45">
      <c r="B251" s="492">
        <v>1.1000000000000001</v>
      </c>
      <c r="C251" s="247" t="s">
        <v>439</v>
      </c>
      <c r="D251" s="171" t="s">
        <v>749</v>
      </c>
      <c r="E251" s="274"/>
      <c r="F251" s="270"/>
      <c r="G251" s="533"/>
      <c r="H251" s="480">
        <v>0</v>
      </c>
      <c r="I251" s="155">
        <f>100000-1500.41</f>
        <v>98499.59</v>
      </c>
      <c r="J251" s="480">
        <v>0</v>
      </c>
      <c r="K251" s="480">
        <v>0</v>
      </c>
      <c r="L251" s="480">
        <v>0</v>
      </c>
      <c r="M251" s="481">
        <f>SUM(H251:L251)</f>
        <v>98499.59</v>
      </c>
      <c r="N251" s="418"/>
      <c r="O251" s="322">
        <v>98499.59</v>
      </c>
      <c r="P251" s="418"/>
      <c r="Q251" s="418"/>
      <c r="R251" s="418"/>
      <c r="S251" s="322">
        <f t="shared" ref="S251:S254" si="70">SUM(N251:R251)</f>
        <v>98499.59</v>
      </c>
      <c r="T251" s="307"/>
      <c r="U251" s="419">
        <f>+I251-O251</f>
        <v>0</v>
      </c>
      <c r="V251" s="307"/>
      <c r="W251" s="307"/>
      <c r="X251" s="307"/>
      <c r="Y251" s="307"/>
      <c r="Z251" s="289">
        <v>0</v>
      </c>
      <c r="AA251" s="289">
        <v>98499.59</v>
      </c>
      <c r="AB251" s="289">
        <v>0</v>
      </c>
      <c r="AC251" s="289">
        <v>0</v>
      </c>
      <c r="AD251" s="289">
        <v>0</v>
      </c>
      <c r="AE251" s="289">
        <v>98499.59</v>
      </c>
      <c r="AF251" s="308"/>
      <c r="AP251" s="666"/>
    </row>
    <row r="252" spans="1:42" ht="30">
      <c r="B252" s="492">
        <v>1.2</v>
      </c>
      <c r="C252" s="376" t="s">
        <v>1169</v>
      </c>
      <c r="D252" s="171" t="s">
        <v>1114</v>
      </c>
      <c r="E252" s="274"/>
      <c r="F252" s="270"/>
      <c r="G252" s="533"/>
      <c r="H252" s="480">
        <v>0</v>
      </c>
      <c r="I252" s="155">
        <v>1550000</v>
      </c>
      <c r="J252" s="480">
        <v>0</v>
      </c>
      <c r="K252" s="480">
        <v>0</v>
      </c>
      <c r="L252" s="480">
        <v>0</v>
      </c>
      <c r="M252" s="481">
        <f t="shared" ref="M252:M260" si="71">SUM(H252:L252)</f>
        <v>1550000</v>
      </c>
      <c r="N252" s="418"/>
      <c r="O252" s="418"/>
      <c r="P252" s="418"/>
      <c r="Q252" s="418"/>
      <c r="R252" s="418"/>
      <c r="S252" s="322">
        <f t="shared" si="70"/>
        <v>0</v>
      </c>
      <c r="T252" s="307"/>
      <c r="U252" s="307"/>
      <c r="V252" s="307"/>
      <c r="W252" s="307"/>
      <c r="X252" s="307"/>
      <c r="Y252" s="307"/>
      <c r="Z252" s="289">
        <v>0</v>
      </c>
      <c r="AA252" s="155">
        <v>1549135.22</v>
      </c>
      <c r="AB252" s="289">
        <v>0</v>
      </c>
      <c r="AC252" s="289">
        <v>0</v>
      </c>
      <c r="AD252" s="289">
        <v>0</v>
      </c>
      <c r="AE252" s="289">
        <f t="shared" ref="AE252:AE257" si="72">SUM(Z252:AD252)</f>
        <v>1549135.22</v>
      </c>
      <c r="AP252" s="666" t="s">
        <v>1407</v>
      </c>
    </row>
    <row r="253" spans="1:42" ht="30">
      <c r="B253" s="492">
        <v>1.3</v>
      </c>
      <c r="C253" s="376" t="s">
        <v>1169</v>
      </c>
      <c r="D253" s="171" t="s">
        <v>750</v>
      </c>
      <c r="E253" s="274"/>
      <c r="F253" s="270"/>
      <c r="G253" s="533"/>
      <c r="H253" s="480">
        <v>0</v>
      </c>
      <c r="I253" s="155">
        <v>1183215</v>
      </c>
      <c r="J253" s="480">
        <v>366785</v>
      </c>
      <c r="K253" s="480">
        <v>0</v>
      </c>
      <c r="L253" s="480">
        <v>0</v>
      </c>
      <c r="M253" s="481">
        <f t="shared" si="71"/>
        <v>1550000</v>
      </c>
      <c r="N253" s="418"/>
      <c r="O253" s="418"/>
      <c r="P253" s="418"/>
      <c r="Q253" s="418"/>
      <c r="R253" s="418"/>
      <c r="S253" s="322">
        <f t="shared" si="70"/>
        <v>0</v>
      </c>
      <c r="T253" s="307"/>
      <c r="U253" s="307"/>
      <c r="V253" s="307"/>
      <c r="W253" s="307"/>
      <c r="X253" s="307"/>
      <c r="Y253" s="307"/>
      <c r="Z253" s="307">
        <v>0</v>
      </c>
      <c r="AA253" s="155">
        <v>1183215</v>
      </c>
      <c r="AB253" s="307">
        <v>366781.15</v>
      </c>
      <c r="AC253" s="307">
        <v>0</v>
      </c>
      <c r="AD253" s="307">
        <v>0</v>
      </c>
      <c r="AE253" s="307">
        <f t="shared" si="72"/>
        <v>1549996.15</v>
      </c>
      <c r="AF253" s="182"/>
      <c r="AP253" s="666" t="s">
        <v>1407</v>
      </c>
    </row>
    <row r="254" spans="1:42" ht="88.5" customHeight="1">
      <c r="A254" t="s">
        <v>845</v>
      </c>
      <c r="B254" s="492">
        <v>1.4</v>
      </c>
      <c r="C254" s="376" t="s">
        <v>1036</v>
      </c>
      <c r="D254" s="171" t="s">
        <v>751</v>
      </c>
      <c r="E254" s="274"/>
      <c r="F254" s="270"/>
      <c r="G254" s="791" t="s">
        <v>1502</v>
      </c>
      <c r="H254" s="480">
        <v>0</v>
      </c>
      <c r="I254" s="155">
        <f>1550000-52402.88</f>
        <v>1497597.12</v>
      </c>
      <c r="J254" s="480">
        <v>0</v>
      </c>
      <c r="K254" s="480">
        <v>0</v>
      </c>
      <c r="L254" s="480">
        <v>0</v>
      </c>
      <c r="M254" s="481">
        <f t="shared" si="71"/>
        <v>1497597.12</v>
      </c>
      <c r="N254" s="418"/>
      <c r="O254" s="322">
        <v>1497597.12</v>
      </c>
      <c r="P254" s="418"/>
      <c r="Q254" s="418"/>
      <c r="R254" s="418"/>
      <c r="S254" s="322">
        <f t="shared" si="70"/>
        <v>1497597.12</v>
      </c>
      <c r="T254" s="307"/>
      <c r="U254" s="535">
        <f t="shared" ref="U254:U260" si="73">+I254-O254</f>
        <v>0</v>
      </c>
      <c r="V254" s="307"/>
      <c r="W254" s="307"/>
      <c r="X254" s="307"/>
      <c r="Y254" s="307"/>
      <c r="Z254" s="289">
        <v>0</v>
      </c>
      <c r="AA254" s="289">
        <v>1497597.12</v>
      </c>
      <c r="AB254" s="289">
        <v>0</v>
      </c>
      <c r="AC254" s="289">
        <v>0</v>
      </c>
      <c r="AD254" s="289">
        <v>0</v>
      </c>
      <c r="AE254" s="289">
        <f t="shared" si="72"/>
        <v>1497597.12</v>
      </c>
      <c r="AF254" s="804">
        <v>52402.879999999997</v>
      </c>
      <c r="AP254" s="666"/>
    </row>
    <row r="255" spans="1:42" ht="90">
      <c r="A255" t="s">
        <v>845</v>
      </c>
      <c r="B255" s="492">
        <v>1.5</v>
      </c>
      <c r="C255" s="455" t="s">
        <v>1109</v>
      </c>
      <c r="D255" s="160" t="s">
        <v>1034</v>
      </c>
      <c r="E255" s="263"/>
      <c r="F255" s="270"/>
      <c r="G255" s="533"/>
      <c r="H255" s="480">
        <v>0</v>
      </c>
      <c r="I255" s="155">
        <v>1000000</v>
      </c>
      <c r="J255" s="494">
        <v>235049.12</v>
      </c>
      <c r="K255" s="480">
        <v>0</v>
      </c>
      <c r="L255" s="480">
        <v>0</v>
      </c>
      <c r="M255" s="481">
        <f t="shared" si="71"/>
        <v>1235049.1200000001</v>
      </c>
      <c r="N255" s="418"/>
      <c r="O255" s="322">
        <v>1000000</v>
      </c>
      <c r="P255" s="322">
        <v>99193.72</v>
      </c>
      <c r="Q255" s="418"/>
      <c r="R255" s="418"/>
      <c r="S255" s="322">
        <f t="shared" ref="S255:S256" si="74">SUM(N255:R255)</f>
        <v>1099193.72</v>
      </c>
      <c r="T255" s="307"/>
      <c r="U255" s="322">
        <f t="shared" si="73"/>
        <v>0</v>
      </c>
      <c r="V255" s="322">
        <f>+J255-P255</f>
        <v>135855.4</v>
      </c>
      <c r="W255" s="307"/>
      <c r="X255" s="307"/>
      <c r="Y255" s="307"/>
      <c r="Z255" s="289">
        <v>0</v>
      </c>
      <c r="AA255" s="289">
        <v>1000000</v>
      </c>
      <c r="AB255" s="289">
        <v>235049.12</v>
      </c>
      <c r="AC255" s="289">
        <v>0</v>
      </c>
      <c r="AD255" s="289">
        <v>0</v>
      </c>
      <c r="AE255" s="289">
        <f t="shared" si="72"/>
        <v>1235049.1200000001</v>
      </c>
      <c r="AP255" s="666" t="s">
        <v>1404</v>
      </c>
    </row>
    <row r="256" spans="1:42" ht="30">
      <c r="A256" t="s">
        <v>845</v>
      </c>
      <c r="B256" s="234">
        <v>1.6</v>
      </c>
      <c r="C256" s="376" t="s">
        <v>968</v>
      </c>
      <c r="D256" s="166" t="s">
        <v>1093</v>
      </c>
      <c r="E256" s="246" t="s">
        <v>967</v>
      </c>
      <c r="F256" s="270"/>
      <c r="G256" s="731"/>
      <c r="H256" s="265">
        <v>0</v>
      </c>
      <c r="I256" s="246">
        <v>912475.78</v>
      </c>
      <c r="J256" s="268">
        <f>637524.22+29320.96</f>
        <v>666845.17999999993</v>
      </c>
      <c r="K256" s="265">
        <v>0</v>
      </c>
      <c r="L256" s="265">
        <v>0</v>
      </c>
      <c r="M256" s="481">
        <f t="shared" si="71"/>
        <v>1579320.96</v>
      </c>
      <c r="N256" s="418"/>
      <c r="O256" s="322">
        <f>534474.81+286753.72+91247.25</f>
        <v>912475.78</v>
      </c>
      <c r="P256" s="322">
        <f>347642.38+186515.33+132687.47</f>
        <v>666845.17999999993</v>
      </c>
      <c r="Q256" s="418"/>
      <c r="R256" s="418"/>
      <c r="S256" s="322">
        <f t="shared" si="74"/>
        <v>1579320.96</v>
      </c>
      <c r="T256" s="307"/>
      <c r="U256" s="535">
        <f t="shared" si="73"/>
        <v>0</v>
      </c>
      <c r="V256" s="535">
        <f>+J256-P256</f>
        <v>0</v>
      </c>
      <c r="W256" s="322"/>
      <c r="X256" s="322"/>
      <c r="Y256" s="322">
        <f>SUM(T256:X256)</f>
        <v>0</v>
      </c>
      <c r="Z256" s="289">
        <v>0</v>
      </c>
      <c r="AA256" s="289">
        <v>912475.78</v>
      </c>
      <c r="AB256" s="289">
        <f>593569.76+73275.42</f>
        <v>666845.18000000005</v>
      </c>
      <c r="AC256" s="289">
        <v>0</v>
      </c>
      <c r="AD256" s="289">
        <v>0</v>
      </c>
      <c r="AE256" s="289">
        <f t="shared" si="72"/>
        <v>1579320.96</v>
      </c>
      <c r="AF256" s="182">
        <f>J256-AB256</f>
        <v>0</v>
      </c>
      <c r="AG256" s="539">
        <v>73275.42</v>
      </c>
      <c r="AI256" s="182">
        <f>AF256-AG256</f>
        <v>-73275.42</v>
      </c>
      <c r="AP256" s="666"/>
    </row>
    <row r="257" spans="1:42" ht="78.75" customHeight="1">
      <c r="B257" s="492">
        <v>1.7</v>
      </c>
      <c r="C257" s="376" t="s">
        <v>839</v>
      </c>
      <c r="D257" s="245" t="s">
        <v>752</v>
      </c>
      <c r="E257" s="274"/>
      <c r="F257" s="270"/>
      <c r="G257" s="791" t="s">
        <v>1503</v>
      </c>
      <c r="H257" s="265">
        <v>0</v>
      </c>
      <c r="I257" s="155">
        <f>1200000+319448.26-3893.89</f>
        <v>1515554.37</v>
      </c>
      <c r="J257" s="265">
        <f>0+22326.87</f>
        <v>22326.87</v>
      </c>
      <c r="K257" s="265">
        <v>0</v>
      </c>
      <c r="L257" s="265">
        <v>0</v>
      </c>
      <c r="M257" s="481">
        <f t="shared" si="71"/>
        <v>1537881.2400000002</v>
      </c>
      <c r="N257" s="418"/>
      <c r="O257" s="322">
        <f>383089.94+500028.23+310480.53+321955.67</f>
        <v>1515554.3699999999</v>
      </c>
      <c r="P257" s="322">
        <v>0</v>
      </c>
      <c r="Q257" s="418"/>
      <c r="R257" s="418"/>
      <c r="S257" s="322">
        <f>SUM(N257:R257)</f>
        <v>1515554.3699999999</v>
      </c>
      <c r="T257" s="322"/>
      <c r="U257" s="535">
        <f t="shared" si="73"/>
        <v>0</v>
      </c>
      <c r="V257" s="535">
        <f>+J257-P257</f>
        <v>22326.87</v>
      </c>
      <c r="W257" s="307"/>
      <c r="X257" s="307"/>
      <c r="Y257" s="307"/>
      <c r="Z257" s="289">
        <v>0</v>
      </c>
      <c r="AA257" s="289">
        <f>1195964.42+323483.84</f>
        <v>1519448.26</v>
      </c>
      <c r="AB257" s="289">
        <v>22326.87</v>
      </c>
      <c r="AC257" s="289">
        <v>0</v>
      </c>
      <c r="AD257" s="289">
        <v>0</v>
      </c>
      <c r="AE257" s="289">
        <f t="shared" si="72"/>
        <v>1541775.1300000001</v>
      </c>
      <c r="AF257" s="804">
        <v>3893.89</v>
      </c>
      <c r="AK257" s="850">
        <v>22326.87</v>
      </c>
      <c r="AP257" s="666"/>
    </row>
    <row r="258" spans="1:42" ht="66.75" customHeight="1">
      <c r="B258" s="492">
        <v>1.8</v>
      </c>
      <c r="C258" s="376">
        <v>42937</v>
      </c>
      <c r="D258" s="245" t="s">
        <v>853</v>
      </c>
      <c r="E258" s="274"/>
      <c r="F258" s="270"/>
      <c r="G258" s="731"/>
      <c r="H258" s="265">
        <v>0</v>
      </c>
      <c r="I258" s="155">
        <v>216785</v>
      </c>
      <c r="J258" s="265">
        <v>0</v>
      </c>
      <c r="K258" s="265">
        <v>0</v>
      </c>
      <c r="L258" s="265">
        <v>0</v>
      </c>
      <c r="M258" s="481">
        <f t="shared" si="71"/>
        <v>216785</v>
      </c>
      <c r="N258" s="418"/>
      <c r="O258" s="322">
        <v>216785</v>
      </c>
      <c r="P258" s="418"/>
      <c r="Q258" s="418"/>
      <c r="R258" s="418"/>
      <c r="S258" s="322">
        <f t="shared" ref="S258:S260" si="75">SUM(N258:R258)</f>
        <v>216785</v>
      </c>
      <c r="T258" s="307"/>
      <c r="U258" s="322">
        <f t="shared" si="73"/>
        <v>0</v>
      </c>
      <c r="V258" s="307"/>
      <c r="W258" s="307"/>
      <c r="X258" s="307"/>
      <c r="Y258" s="307"/>
      <c r="Z258" s="289">
        <v>0</v>
      </c>
      <c r="AA258" s="289">
        <v>216785</v>
      </c>
      <c r="AB258" s="289">
        <v>0</v>
      </c>
      <c r="AC258" s="289">
        <v>0</v>
      </c>
      <c r="AD258" s="289">
        <v>0</v>
      </c>
      <c r="AE258" s="289">
        <v>216785</v>
      </c>
      <c r="AP258" s="666"/>
    </row>
    <row r="259" spans="1:42" ht="105">
      <c r="A259" t="s">
        <v>845</v>
      </c>
      <c r="B259" s="492">
        <v>1.9</v>
      </c>
      <c r="C259" s="178" t="s">
        <v>1116</v>
      </c>
      <c r="D259" s="523" t="s">
        <v>1044</v>
      </c>
      <c r="E259" s="274">
        <v>1477345.52</v>
      </c>
      <c r="F259" s="270"/>
      <c r="G259" s="791" t="s">
        <v>1504</v>
      </c>
      <c r="H259" s="481">
        <v>0</v>
      </c>
      <c r="I259" s="481">
        <f>1477345.52-239156.37-53336.82</f>
        <v>1184852.3299999998</v>
      </c>
      <c r="J259" s="481">
        <v>239156.37</v>
      </c>
      <c r="K259" s="481">
        <v>0</v>
      </c>
      <c r="L259" s="481">
        <v>0</v>
      </c>
      <c r="M259" s="481">
        <f t="shared" ref="M259" si="76">SUM(H259:L259)</f>
        <v>1424008.6999999997</v>
      </c>
      <c r="N259" s="306"/>
      <c r="O259" s="322">
        <f>1053205.66+131646.67</f>
        <v>1184852.3299999998</v>
      </c>
      <c r="P259" s="322">
        <f>37295.13+4661.75</f>
        <v>41956.88</v>
      </c>
      <c r="Q259" s="306"/>
      <c r="R259" s="306"/>
      <c r="S259" s="322">
        <f t="shared" si="75"/>
        <v>1226809.2099999997</v>
      </c>
      <c r="T259" s="307"/>
      <c r="U259" s="419">
        <f t="shared" si="73"/>
        <v>0</v>
      </c>
      <c r="V259" s="419">
        <f>+J259-P259</f>
        <v>197199.49</v>
      </c>
      <c r="W259" s="307"/>
      <c r="X259" s="307"/>
      <c r="Y259" s="307"/>
      <c r="Z259" s="289">
        <v>0</v>
      </c>
      <c r="AA259" s="289">
        <v>1238189.1499999999</v>
      </c>
      <c r="AB259" s="289">
        <v>43883.88</v>
      </c>
      <c r="AC259" s="289">
        <v>0</v>
      </c>
      <c r="AD259" s="289">
        <v>0</v>
      </c>
      <c r="AE259" s="289">
        <f>SUM(Z259:AD259)</f>
        <v>1282073.0299999998</v>
      </c>
      <c r="AF259" s="804">
        <v>53336.82</v>
      </c>
      <c r="AG259" s="182"/>
      <c r="AK259" s="850">
        <v>197199.49</v>
      </c>
      <c r="AP259" s="666"/>
    </row>
    <row r="260" spans="1:42" ht="75" customHeight="1">
      <c r="B260" s="172" t="s">
        <v>729</v>
      </c>
      <c r="C260" s="376" t="s">
        <v>1142</v>
      </c>
      <c r="D260" s="523" t="s">
        <v>1047</v>
      </c>
      <c r="E260" s="155">
        <v>1430609.52</v>
      </c>
      <c r="F260" s="533"/>
      <c r="G260" s="791" t="s">
        <v>1505</v>
      </c>
      <c r="H260" s="481">
        <v>0</v>
      </c>
      <c r="I260" s="481">
        <f>1430609.52-40154.65</f>
        <v>1390454.87</v>
      </c>
      <c r="J260" s="481">
        <f>1750057.78-1750057.78</f>
        <v>0</v>
      </c>
      <c r="K260" s="481">
        <v>0</v>
      </c>
      <c r="L260" s="481">
        <v>0</v>
      </c>
      <c r="M260" s="481">
        <f t="shared" si="71"/>
        <v>1390454.87</v>
      </c>
      <c r="N260" s="306"/>
      <c r="O260" s="322">
        <f>1251409.39+139045.48</f>
        <v>1390454.8699999999</v>
      </c>
      <c r="P260" s="306"/>
      <c r="Q260" s="306"/>
      <c r="R260" s="306"/>
      <c r="S260" s="322">
        <f t="shared" si="75"/>
        <v>1390454.8699999999</v>
      </c>
      <c r="T260" s="307"/>
      <c r="U260" s="419">
        <f t="shared" si="73"/>
        <v>0</v>
      </c>
      <c r="V260" s="307"/>
      <c r="W260" s="307"/>
      <c r="X260" s="307"/>
      <c r="Y260" s="307"/>
      <c r="Z260" s="481">
        <v>0</v>
      </c>
      <c r="AA260" s="289">
        <v>1430609.52</v>
      </c>
      <c r="AB260" s="481">
        <f>1750057.78-1750057.78</f>
        <v>0</v>
      </c>
      <c r="AC260" s="481">
        <v>0</v>
      </c>
      <c r="AD260" s="481">
        <v>0</v>
      </c>
      <c r="AE260" s="481">
        <f t="shared" ref="AE260:AE261" si="77">SUM(Z260:AD260)</f>
        <v>1430609.52</v>
      </c>
      <c r="AF260" s="804">
        <v>40154.65</v>
      </c>
      <c r="AP260" s="666"/>
    </row>
    <row r="261" spans="1:42" ht="30">
      <c r="B261" s="172">
        <v>1.1100000000000001</v>
      </c>
      <c r="C261" s="376" t="s">
        <v>1381</v>
      </c>
      <c r="D261" s="523" t="s">
        <v>1176</v>
      </c>
      <c r="E261" s="274"/>
      <c r="F261" s="533"/>
      <c r="G261" s="731"/>
      <c r="H261" s="481">
        <v>0</v>
      </c>
      <c r="I261" s="481">
        <v>0</v>
      </c>
      <c r="J261" s="481">
        <v>910203.47</v>
      </c>
      <c r="K261" s="481">
        <v>0</v>
      </c>
      <c r="L261" s="481">
        <v>0</v>
      </c>
      <c r="M261" s="481">
        <f t="shared" ref="M261:M262" si="78">SUM(H261:L261)</f>
        <v>910203.47</v>
      </c>
      <c r="N261" s="306"/>
      <c r="O261" s="306"/>
      <c r="P261" s="306"/>
      <c r="Q261" s="306"/>
      <c r="R261" s="306"/>
      <c r="S261" s="306"/>
      <c r="T261" s="307"/>
      <c r="U261" s="307"/>
      <c r="V261" s="307"/>
      <c r="W261" s="307"/>
      <c r="X261" s="307"/>
      <c r="Y261" s="307"/>
      <c r="Z261" s="481">
        <v>0</v>
      </c>
      <c r="AA261" s="481">
        <v>0</v>
      </c>
      <c r="AB261" s="481">
        <v>910203.47</v>
      </c>
      <c r="AC261" s="481">
        <v>0</v>
      </c>
      <c r="AD261" s="481">
        <v>0</v>
      </c>
      <c r="AE261" s="481">
        <f t="shared" si="77"/>
        <v>910203.47</v>
      </c>
      <c r="AP261" s="666" t="s">
        <v>1406</v>
      </c>
    </row>
    <row r="262" spans="1:42" ht="45">
      <c r="B262" s="172">
        <v>1.1200000000000001</v>
      </c>
      <c r="C262" s="376" t="s">
        <v>1365</v>
      </c>
      <c r="D262" s="166" t="s">
        <v>1177</v>
      </c>
      <c r="E262" s="274"/>
      <c r="F262" s="533"/>
      <c r="G262" s="731"/>
      <c r="H262" s="481">
        <v>0</v>
      </c>
      <c r="I262" s="481">
        <v>0</v>
      </c>
      <c r="J262" s="481">
        <v>1501427.47</v>
      </c>
      <c r="K262" s="481">
        <v>0</v>
      </c>
      <c r="L262" s="481">
        <v>0</v>
      </c>
      <c r="M262" s="481">
        <f t="shared" si="78"/>
        <v>1501427.47</v>
      </c>
      <c r="N262" s="306"/>
      <c r="O262" s="306"/>
      <c r="P262" s="306"/>
      <c r="Q262" s="306"/>
      <c r="R262" s="306"/>
      <c r="S262" s="306"/>
      <c r="T262" s="307"/>
      <c r="U262" s="307"/>
      <c r="V262" s="307"/>
      <c r="W262" s="307"/>
      <c r="X262" s="307"/>
      <c r="Y262" s="307"/>
      <c r="Z262" s="481">
        <v>0</v>
      </c>
      <c r="AA262" s="289">
        <v>0</v>
      </c>
      <c r="AB262" s="481">
        <v>1501427.47</v>
      </c>
      <c r="AC262" s="481">
        <v>0</v>
      </c>
      <c r="AD262" s="481">
        <v>0</v>
      </c>
      <c r="AE262" s="481">
        <f t="shared" ref="AE262" si="79">SUM(Z262:AD262)</f>
        <v>1501427.47</v>
      </c>
      <c r="AP262" s="666"/>
    </row>
    <row r="263" spans="1:42" ht="15.75">
      <c r="B263" s="193"/>
      <c r="C263" s="247"/>
      <c r="D263" s="160" t="s">
        <v>6</v>
      </c>
      <c r="E263" s="263">
        <f>SUM(E259:E260)</f>
        <v>2907955.04</v>
      </c>
      <c r="F263" s="270"/>
      <c r="G263" s="533"/>
      <c r="H263" s="170">
        <f>SUM(H250:H260)</f>
        <v>0</v>
      </c>
      <c r="I263" s="170">
        <f>SUM(I250:I262)</f>
        <v>10549434.059999999</v>
      </c>
      <c r="J263" s="170">
        <f>SUM(J250:J262)</f>
        <v>3942317.29</v>
      </c>
      <c r="K263" s="170">
        <f t="shared" ref="K263:M263" si="80">SUM(K250:K262)</f>
        <v>0</v>
      </c>
      <c r="L263" s="170">
        <f t="shared" si="80"/>
        <v>0</v>
      </c>
      <c r="M263" s="170">
        <f t="shared" si="80"/>
        <v>14491751.350000001</v>
      </c>
      <c r="N263" s="170">
        <f>SUM(N250:N262)</f>
        <v>0</v>
      </c>
      <c r="O263" s="170">
        <f t="shared" ref="O263:S263" si="81">SUM(O250:O262)</f>
        <v>7816219.0600000005</v>
      </c>
      <c r="P263" s="170">
        <f t="shared" si="81"/>
        <v>807995.77999999991</v>
      </c>
      <c r="Q263" s="170">
        <f t="shared" si="81"/>
        <v>0</v>
      </c>
      <c r="R263" s="170">
        <f t="shared" si="81"/>
        <v>0</v>
      </c>
      <c r="S263" s="170">
        <f t="shared" si="81"/>
        <v>8624214.8399999999</v>
      </c>
      <c r="T263" s="170">
        <f t="shared" ref="T263:AE263" si="82">SUM(T250:T260)</f>
        <v>0</v>
      </c>
      <c r="U263" s="170">
        <f t="shared" si="82"/>
        <v>0</v>
      </c>
      <c r="V263" s="170">
        <f t="shared" si="82"/>
        <v>355381.76000000001</v>
      </c>
      <c r="W263" s="170">
        <f t="shared" si="82"/>
        <v>0</v>
      </c>
      <c r="X263" s="170">
        <f t="shared" si="82"/>
        <v>0</v>
      </c>
      <c r="Y263" s="170">
        <f t="shared" si="82"/>
        <v>0</v>
      </c>
      <c r="Z263" s="170">
        <f t="shared" si="82"/>
        <v>0</v>
      </c>
      <c r="AA263" s="170">
        <f>SUM(AA250:AA262)</f>
        <v>10645954.639999999</v>
      </c>
      <c r="AB263" s="170">
        <f t="shared" ref="AB263:AD263" si="83">SUM(AB250:AB262)</f>
        <v>3746517.1399999997</v>
      </c>
      <c r="AC263" s="170">
        <f t="shared" si="83"/>
        <v>0</v>
      </c>
      <c r="AD263" s="170">
        <f t="shared" si="83"/>
        <v>0</v>
      </c>
      <c r="AE263" s="170">
        <f t="shared" si="82"/>
        <v>11980840.84</v>
      </c>
      <c r="AP263" s="666"/>
    </row>
    <row r="264" spans="1:42" ht="15.75">
      <c r="B264" s="24"/>
      <c r="C264" s="227"/>
      <c r="E264" s="54">
        <f>J250-E263</f>
        <v>-2907431.23</v>
      </c>
      <c r="F264" s="228"/>
      <c r="G264" s="592"/>
      <c r="M264" s="55"/>
      <c r="N264" s="230"/>
      <c r="O264" s="230"/>
      <c r="P264" s="230"/>
      <c r="Q264" s="230"/>
      <c r="R264" s="230"/>
      <c r="S264" s="230"/>
      <c r="T264" s="231"/>
      <c r="U264" s="231"/>
      <c r="V264" s="231"/>
      <c r="W264" s="231"/>
      <c r="X264" s="231"/>
      <c r="Y264" s="231"/>
      <c r="Z264" s="231"/>
      <c r="AA264" s="231"/>
      <c r="AB264" s="231"/>
      <c r="AC264" s="231"/>
      <c r="AD264" s="231"/>
      <c r="AE264" s="231"/>
      <c r="AP264" s="666"/>
    </row>
    <row r="265" spans="1:42" ht="15.75">
      <c r="B265" s="56"/>
      <c r="C265" s="227"/>
      <c r="D265" s="29"/>
      <c r="E265" s="57"/>
      <c r="F265" s="228"/>
      <c r="G265" s="592"/>
      <c r="H265" s="51"/>
      <c r="I265" s="51"/>
      <c r="J265" s="51"/>
      <c r="K265" s="51"/>
      <c r="L265" s="51"/>
      <c r="M265" s="58"/>
      <c r="N265" s="230"/>
      <c r="O265" s="230"/>
      <c r="P265" s="230"/>
      <c r="Q265" s="230"/>
      <c r="R265" s="230"/>
      <c r="S265" s="230"/>
      <c r="T265" s="231"/>
      <c r="U265" s="231"/>
      <c r="V265" s="231"/>
      <c r="W265" s="231"/>
      <c r="X265" s="231"/>
      <c r="Y265" s="231"/>
      <c r="Z265" s="231"/>
      <c r="AA265" s="231"/>
      <c r="AB265" s="231"/>
      <c r="AC265" s="231"/>
      <c r="AD265" s="231"/>
      <c r="AE265" s="231"/>
      <c r="AP265" s="666"/>
    </row>
    <row r="266" spans="1:42" ht="18.75">
      <c r="B266" s="100"/>
      <c r="C266" s="271"/>
      <c r="D266" s="102" t="s">
        <v>32</v>
      </c>
      <c r="E266" s="103"/>
      <c r="F266" s="272"/>
      <c r="G266" s="533"/>
      <c r="H266" s="107">
        <f>SUM(H267:H271)</f>
        <v>0</v>
      </c>
      <c r="I266" s="107">
        <f>SUM(I267:I299)</f>
        <v>11753.07</v>
      </c>
      <c r="J266" s="107">
        <f>SUM(J267:J297)</f>
        <v>4988246.93</v>
      </c>
      <c r="K266" s="107">
        <f t="shared" ref="K266:L266" si="84">SUM(K267:K271)</f>
        <v>0</v>
      </c>
      <c r="L266" s="107">
        <f t="shared" si="84"/>
        <v>0</v>
      </c>
      <c r="M266" s="107">
        <f>SUM(H266:L266)</f>
        <v>5000000</v>
      </c>
      <c r="N266" s="306"/>
      <c r="O266" s="306"/>
      <c r="P266" s="306"/>
      <c r="Q266" s="306"/>
      <c r="R266" s="306"/>
      <c r="S266" s="322">
        <f t="shared" ref="S266:S270" si="85">SUM(N266:R266)</f>
        <v>0</v>
      </c>
      <c r="T266" s="307"/>
      <c r="U266" s="307"/>
      <c r="V266" s="307"/>
      <c r="W266" s="307"/>
      <c r="X266" s="307"/>
      <c r="Y266" s="307"/>
      <c r="Z266" s="307"/>
      <c r="AA266" s="307"/>
      <c r="AB266" s="307"/>
      <c r="AC266" s="307"/>
      <c r="AD266" s="307"/>
      <c r="AE266" s="307"/>
      <c r="AP266" s="666"/>
    </row>
    <row r="267" spans="1:42" ht="15.75">
      <c r="B267" s="193">
        <v>1</v>
      </c>
      <c r="C267" s="247"/>
      <c r="D267" s="171" t="s">
        <v>33</v>
      </c>
      <c r="E267" s="170"/>
      <c r="F267" s="270"/>
      <c r="G267" s="731"/>
      <c r="H267" s="481">
        <v>0</v>
      </c>
      <c r="I267" s="59">
        <f>3000000-439812.96-11753.07-86300.1-78877.57-452400-48268.06-91667.93-30120.91-569770.23-399994.48-314263.88-8007.97-468762.84</f>
        <v>0</v>
      </c>
      <c r="J267" s="155">
        <f>1930400+468762.84+97.56+106336.49-33067.47-15197.8-79542.62-129176.9-219694.58-219694.58-J287-J288-J289-J290-J291-J292-J293-J297-J294-J295-J296</f>
        <v>545121.70000000007</v>
      </c>
      <c r="K267" s="494">
        <v>0</v>
      </c>
      <c r="L267" s="494">
        <v>0</v>
      </c>
      <c r="M267" s="8">
        <f>SUM(H267:L267)</f>
        <v>545121.70000000007</v>
      </c>
      <c r="N267" s="306"/>
      <c r="O267" s="306"/>
      <c r="P267" s="306"/>
      <c r="Q267" s="306"/>
      <c r="R267" s="306"/>
      <c r="S267" s="322">
        <f t="shared" si="85"/>
        <v>0</v>
      </c>
      <c r="T267" s="307"/>
      <c r="U267" s="307"/>
      <c r="V267" s="307"/>
      <c r="W267" s="307"/>
      <c r="X267" s="307"/>
      <c r="Y267" s="307"/>
      <c r="Z267" s="307"/>
      <c r="AA267" s="307"/>
      <c r="AB267" s="307"/>
      <c r="AC267" s="307"/>
      <c r="AD267" s="307"/>
      <c r="AE267" s="307"/>
      <c r="AP267" s="666"/>
    </row>
    <row r="268" spans="1:42" ht="18.75">
      <c r="B268" s="492">
        <v>1.1000000000000001</v>
      </c>
      <c r="C268" s="376" t="s">
        <v>874</v>
      </c>
      <c r="D268" s="171" t="s">
        <v>753</v>
      </c>
      <c r="E268" s="155"/>
      <c r="F268" s="270"/>
      <c r="G268" s="731"/>
      <c r="H268" s="265">
        <v>0</v>
      </c>
      <c r="I268" s="59">
        <v>0</v>
      </c>
      <c r="J268" s="155">
        <v>69600</v>
      </c>
      <c r="K268" s="480">
        <v>0</v>
      </c>
      <c r="L268" s="480">
        <v>0</v>
      </c>
      <c r="M268" s="8">
        <f t="shared" ref="M268:M274" si="86">SUM(H268:L268)</f>
        <v>69600</v>
      </c>
      <c r="N268" s="306"/>
      <c r="O268" s="306"/>
      <c r="P268" s="322">
        <f>6813.84+7656+20253.6+19738.56+15138</f>
        <v>69600</v>
      </c>
      <c r="Q268" s="306"/>
      <c r="R268" s="306"/>
      <c r="S268" s="322">
        <f t="shared" si="85"/>
        <v>69600</v>
      </c>
      <c r="T268" s="307"/>
      <c r="U268" s="307"/>
      <c r="V268" s="535">
        <f>+J268-P268</f>
        <v>0</v>
      </c>
      <c r="W268" s="307"/>
      <c r="X268" s="307"/>
      <c r="Y268" s="307"/>
      <c r="Z268" s="265">
        <v>0</v>
      </c>
      <c r="AA268" s="59">
        <v>0</v>
      </c>
      <c r="AB268" s="155">
        <v>69600</v>
      </c>
      <c r="AC268" s="480">
        <v>0</v>
      </c>
      <c r="AD268" s="480">
        <v>0</v>
      </c>
      <c r="AE268" s="480">
        <f>SUM(Z268:AD268)</f>
        <v>69600</v>
      </c>
      <c r="AP268" s="666"/>
    </row>
    <row r="269" spans="1:42" ht="30">
      <c r="B269" s="492">
        <v>1.2</v>
      </c>
      <c r="C269" s="376" t="s">
        <v>875</v>
      </c>
      <c r="D269" s="171" t="s">
        <v>836</v>
      </c>
      <c r="E269" s="155"/>
      <c r="F269" s="270"/>
      <c r="G269" s="731"/>
      <c r="H269" s="265">
        <v>0</v>
      </c>
      <c r="I269" s="59">
        <v>0</v>
      </c>
      <c r="J269" s="59">
        <v>439812.96</v>
      </c>
      <c r="K269" s="480">
        <v>0</v>
      </c>
      <c r="L269" s="480">
        <v>0</v>
      </c>
      <c r="M269" s="8">
        <f t="shared" si="86"/>
        <v>439812.96</v>
      </c>
      <c r="N269" s="306"/>
      <c r="O269"/>
      <c r="P269" s="322">
        <f>5497.66+42881.77+15613.36+26168.87</f>
        <v>90161.659999999989</v>
      </c>
      <c r="Q269" s="306"/>
      <c r="R269" s="306"/>
      <c r="S269" s="322">
        <f t="shared" si="85"/>
        <v>90161.659999999989</v>
      </c>
      <c r="T269" s="307"/>
      <c r="U269" s="666"/>
      <c r="V269" s="322">
        <f>+J269-P269</f>
        <v>349651.30000000005</v>
      </c>
      <c r="W269" s="307"/>
      <c r="X269" s="307"/>
      <c r="Y269" s="307"/>
      <c r="Z269" s="265">
        <v>0</v>
      </c>
      <c r="AA269" s="59">
        <v>439812.96</v>
      </c>
      <c r="AB269" s="155">
        <v>0</v>
      </c>
      <c r="AC269" s="480">
        <v>0</v>
      </c>
      <c r="AD269" s="480">
        <v>0</v>
      </c>
      <c r="AE269" s="480">
        <f t="shared" ref="AE269:AE272" si="87">SUM(Z269:AD269)</f>
        <v>439812.96</v>
      </c>
      <c r="AP269" s="666" t="s">
        <v>1404</v>
      </c>
    </row>
    <row r="270" spans="1:42" ht="45">
      <c r="B270" s="492">
        <v>1.3</v>
      </c>
      <c r="C270" s="376" t="s">
        <v>895</v>
      </c>
      <c r="D270" s="171" t="s">
        <v>861</v>
      </c>
      <c r="E270" s="155"/>
      <c r="F270" s="270"/>
      <c r="G270" s="731"/>
      <c r="H270" s="265">
        <v>0</v>
      </c>
      <c r="I270" s="59">
        <v>11753.07</v>
      </c>
      <c r="J270" s="155">
        <v>0</v>
      </c>
      <c r="K270" s="480">
        <v>0</v>
      </c>
      <c r="L270" s="480">
        <v>0</v>
      </c>
      <c r="M270" s="8">
        <f t="shared" si="86"/>
        <v>11753.07</v>
      </c>
      <c r="N270" s="306"/>
      <c r="O270" s="306"/>
      <c r="P270" s="306"/>
      <c r="Q270" s="306"/>
      <c r="R270" s="306"/>
      <c r="S270" s="322">
        <f t="shared" si="85"/>
        <v>0</v>
      </c>
      <c r="T270" s="307"/>
      <c r="U270" s="446">
        <v>11753.07</v>
      </c>
      <c r="V270" s="307"/>
      <c r="W270" s="307"/>
      <c r="X270" s="307"/>
      <c r="Y270" s="307"/>
      <c r="Z270" s="265">
        <v>0</v>
      </c>
      <c r="AA270" s="59">
        <v>11753.07</v>
      </c>
      <c r="AB270" s="155">
        <v>0</v>
      </c>
      <c r="AC270" s="480">
        <v>0</v>
      </c>
      <c r="AD270" s="480">
        <v>0</v>
      </c>
      <c r="AE270" s="480">
        <f t="shared" si="87"/>
        <v>11753.07</v>
      </c>
      <c r="AP270" s="666" t="s">
        <v>1404</v>
      </c>
    </row>
    <row r="271" spans="1:42" ht="45">
      <c r="B271" s="492">
        <v>1.4</v>
      </c>
      <c r="C271" s="292" t="s">
        <v>1120</v>
      </c>
      <c r="D271" s="171" t="s">
        <v>873</v>
      </c>
      <c r="E271" s="155"/>
      <c r="F271" s="270"/>
      <c r="G271" s="731"/>
      <c r="H271" s="265">
        <v>0</v>
      </c>
      <c r="I271" s="59">
        <v>0</v>
      </c>
      <c r="J271" s="155">
        <v>86300.1</v>
      </c>
      <c r="K271" s="480">
        <v>0</v>
      </c>
      <c r="L271" s="480">
        <v>0</v>
      </c>
      <c r="M271" s="8">
        <f t="shared" si="86"/>
        <v>86300.1</v>
      </c>
      <c r="N271" s="306"/>
      <c r="O271" s="306"/>
      <c r="P271" s="322">
        <f>8630.01+6041+11219.01</f>
        <v>25890.02</v>
      </c>
      <c r="Q271" s="306"/>
      <c r="R271" s="306"/>
      <c r="S271" s="322">
        <f>SUM(N271:R271)</f>
        <v>25890.02</v>
      </c>
      <c r="T271" s="307"/>
      <c r="U271" s="307"/>
      <c r="V271" s="322">
        <f>+J271-P271</f>
        <v>60410.080000000002</v>
      </c>
      <c r="W271" s="307"/>
      <c r="X271" s="307"/>
      <c r="Y271" s="307"/>
      <c r="Z271" s="265">
        <v>0</v>
      </c>
      <c r="AA271" s="59">
        <v>86300.1</v>
      </c>
      <c r="AB271" s="155">
        <v>0</v>
      </c>
      <c r="AC271" s="480">
        <v>0</v>
      </c>
      <c r="AD271" s="480">
        <v>0</v>
      </c>
      <c r="AE271" s="480">
        <f t="shared" si="87"/>
        <v>86300.1</v>
      </c>
      <c r="AP271" s="666" t="s">
        <v>1407</v>
      </c>
    </row>
    <row r="272" spans="1:42" ht="30">
      <c r="B272" s="492">
        <v>1.5</v>
      </c>
      <c r="C272" s="292" t="s">
        <v>1143</v>
      </c>
      <c r="D272" s="171" t="s">
        <v>952</v>
      </c>
      <c r="E272" s="155"/>
      <c r="F272" s="270"/>
      <c r="G272" s="731"/>
      <c r="H272" s="265">
        <v>0</v>
      </c>
      <c r="I272" s="59">
        <v>0</v>
      </c>
      <c r="J272" s="155">
        <v>78877.570000000007</v>
      </c>
      <c r="K272" s="480">
        <v>0</v>
      </c>
      <c r="L272" s="480">
        <v>0</v>
      </c>
      <c r="M272" s="8">
        <f t="shared" si="86"/>
        <v>78877.570000000007</v>
      </c>
      <c r="N272" s="306"/>
      <c r="O272" s="306"/>
      <c r="P272" s="306"/>
      <c r="Q272" s="306"/>
      <c r="R272" s="306"/>
      <c r="S272" s="306"/>
      <c r="T272" s="307"/>
      <c r="U272" s="307"/>
      <c r="V272" s="307"/>
      <c r="W272" s="307"/>
      <c r="X272" s="307"/>
      <c r="Y272" s="307"/>
      <c r="Z272" s="265">
        <v>0</v>
      </c>
      <c r="AA272" s="59">
        <v>78877.570000000007</v>
      </c>
      <c r="AB272" s="155">
        <v>0</v>
      </c>
      <c r="AC272" s="480">
        <v>0</v>
      </c>
      <c r="AD272" s="480">
        <v>0</v>
      </c>
      <c r="AE272" s="480">
        <f t="shared" si="87"/>
        <v>78877.570000000007</v>
      </c>
      <c r="AP272" s="666" t="s">
        <v>1404</v>
      </c>
    </row>
    <row r="273" spans="1:42" ht="60">
      <c r="A273" t="s">
        <v>845</v>
      </c>
      <c r="B273" s="492">
        <v>1.6</v>
      </c>
      <c r="C273" s="376" t="s">
        <v>1056</v>
      </c>
      <c r="D273" s="171" t="s">
        <v>1032</v>
      </c>
      <c r="E273" s="59"/>
      <c r="F273" s="270"/>
      <c r="G273" s="731"/>
      <c r="H273" s="265">
        <v>0</v>
      </c>
      <c r="I273" s="59">
        <v>0</v>
      </c>
      <c r="J273" s="155">
        <v>452400</v>
      </c>
      <c r="K273" s="480">
        <v>0</v>
      </c>
      <c r="L273" s="480">
        <v>0</v>
      </c>
      <c r="M273" s="8">
        <f t="shared" si="86"/>
        <v>452400</v>
      </c>
      <c r="N273" s="306"/>
      <c r="O273" s="306"/>
      <c r="P273" s="322">
        <f>138796.32+171866.76</f>
        <v>310663.08</v>
      </c>
      <c r="Q273" s="306"/>
      <c r="R273" s="306"/>
      <c r="S273" s="322">
        <f t="shared" ref="S273:S275" si="88">SUM(N273:R273)</f>
        <v>310663.08</v>
      </c>
      <c r="T273" s="307"/>
      <c r="U273" s="307"/>
      <c r="V273" s="322">
        <f>+J273-P273</f>
        <v>141736.91999999998</v>
      </c>
      <c r="W273" s="307"/>
      <c r="X273" s="307"/>
      <c r="Y273" s="307"/>
      <c r="Z273" s="265">
        <v>0</v>
      </c>
      <c r="AA273" s="59">
        <v>452400</v>
      </c>
      <c r="AB273" s="155">
        <v>0</v>
      </c>
      <c r="AC273" s="480">
        <v>0</v>
      </c>
      <c r="AD273" s="480">
        <v>0</v>
      </c>
      <c r="AE273" s="480">
        <f t="shared" ref="AE273:AE280" si="89">SUM(Z273:AD273)</f>
        <v>452400</v>
      </c>
      <c r="AP273" s="666" t="s">
        <v>1406</v>
      </c>
    </row>
    <row r="274" spans="1:42" ht="30">
      <c r="B274" s="492">
        <v>1.7</v>
      </c>
      <c r="C274" s="376" t="s">
        <v>1055</v>
      </c>
      <c r="D274" s="171" t="s">
        <v>971</v>
      </c>
      <c r="E274" s="59"/>
      <c r="F274" s="270"/>
      <c r="G274" s="731"/>
      <c r="H274" s="265">
        <v>0</v>
      </c>
      <c r="I274" s="59">
        <v>0</v>
      </c>
      <c r="J274" s="155">
        <v>48268.06</v>
      </c>
      <c r="K274" s="480">
        <v>0</v>
      </c>
      <c r="L274" s="480">
        <v>0</v>
      </c>
      <c r="M274" s="8">
        <f t="shared" si="86"/>
        <v>48268.06</v>
      </c>
      <c r="N274" s="306"/>
      <c r="O274" s="306"/>
      <c r="P274" s="322">
        <f>21229.67+8347.49</f>
        <v>29577.159999999996</v>
      </c>
      <c r="Q274" s="306"/>
      <c r="R274" s="306"/>
      <c r="S274" s="322">
        <f t="shared" si="88"/>
        <v>29577.159999999996</v>
      </c>
      <c r="T274" s="307"/>
      <c r="U274" s="307"/>
      <c r="V274" s="322">
        <f>+J274-P274</f>
        <v>18690.900000000001</v>
      </c>
      <c r="W274" s="307"/>
      <c r="X274" s="307"/>
      <c r="Y274" s="307"/>
      <c r="Z274" s="265">
        <v>0</v>
      </c>
      <c r="AA274" s="59">
        <v>48268.06</v>
      </c>
      <c r="AB274" s="155">
        <v>0</v>
      </c>
      <c r="AC274" s="480">
        <v>0</v>
      </c>
      <c r="AD274" s="480">
        <v>0</v>
      </c>
      <c r="AE274" s="480">
        <f t="shared" si="89"/>
        <v>48268.06</v>
      </c>
      <c r="AP274" s="666" t="s">
        <v>1407</v>
      </c>
    </row>
    <row r="275" spans="1:42" ht="30">
      <c r="B275" s="492">
        <v>1.8</v>
      </c>
      <c r="C275" s="376" t="s">
        <v>1055</v>
      </c>
      <c r="D275" s="171" t="s">
        <v>1033</v>
      </c>
      <c r="E275" s="59"/>
      <c r="F275" s="270"/>
      <c r="G275" s="731"/>
      <c r="H275" s="265">
        <v>0</v>
      </c>
      <c r="I275" s="59">
        <v>0</v>
      </c>
      <c r="J275" s="155">
        <v>91667.93</v>
      </c>
      <c r="K275" s="480">
        <v>0</v>
      </c>
      <c r="L275" s="480">
        <v>0</v>
      </c>
      <c r="M275" s="8">
        <f t="shared" ref="M275:M277" si="90">SUM(H275:L275)</f>
        <v>91667.93</v>
      </c>
      <c r="N275" s="306"/>
      <c r="O275" s="306"/>
      <c r="P275" s="306"/>
      <c r="Q275" s="306"/>
      <c r="R275" s="306"/>
      <c r="S275" s="322">
        <f t="shared" si="88"/>
        <v>0</v>
      </c>
      <c r="T275" s="307"/>
      <c r="U275" s="307"/>
      <c r="V275" s="307"/>
      <c r="W275" s="307"/>
      <c r="X275" s="307"/>
      <c r="Y275" s="307"/>
      <c r="Z275" s="265">
        <v>0</v>
      </c>
      <c r="AA275" s="59">
        <v>91667.93</v>
      </c>
      <c r="AB275" s="155">
        <v>0</v>
      </c>
      <c r="AC275" s="480">
        <v>0</v>
      </c>
      <c r="AD275" s="480">
        <v>0</v>
      </c>
      <c r="AE275" s="8">
        <f t="shared" si="89"/>
        <v>91667.93</v>
      </c>
      <c r="AP275" s="666" t="s">
        <v>1407</v>
      </c>
    </row>
    <row r="276" spans="1:42" ht="45">
      <c r="B276" s="492">
        <v>1.9</v>
      </c>
      <c r="C276" s="376" t="s">
        <v>1054</v>
      </c>
      <c r="D276" s="171" t="s">
        <v>1030</v>
      </c>
      <c r="E276" s="59"/>
      <c r="F276" s="270"/>
      <c r="G276" s="731"/>
      <c r="H276" s="265">
        <v>0</v>
      </c>
      <c r="I276" s="59">
        <v>0</v>
      </c>
      <c r="J276" s="155">
        <v>30120.91</v>
      </c>
      <c r="K276" s="480">
        <v>0</v>
      </c>
      <c r="L276" s="480">
        <v>0</v>
      </c>
      <c r="M276" s="8">
        <f t="shared" si="90"/>
        <v>30120.91</v>
      </c>
      <c r="N276" s="322"/>
      <c r="O276" s="322"/>
      <c r="P276" s="322">
        <f>17168.92+9939.9</f>
        <v>27108.82</v>
      </c>
      <c r="Q276" s="322"/>
      <c r="R276" s="322"/>
      <c r="S276" s="322">
        <f>SUM(N276:R276)</f>
        <v>27108.82</v>
      </c>
      <c r="T276" s="307"/>
      <c r="U276" s="307"/>
      <c r="V276" s="322">
        <f>+J276-P276</f>
        <v>3012.09</v>
      </c>
      <c r="W276" s="307"/>
      <c r="X276" s="307"/>
      <c r="Y276" s="307"/>
      <c r="Z276" s="265">
        <v>0</v>
      </c>
      <c r="AA276" s="59">
        <v>30120.91</v>
      </c>
      <c r="AB276" s="155">
        <v>0</v>
      </c>
      <c r="AC276" s="480">
        <v>0</v>
      </c>
      <c r="AD276" s="480">
        <v>0</v>
      </c>
      <c r="AE276" s="8">
        <f t="shared" si="89"/>
        <v>30120.91</v>
      </c>
      <c r="AP276" s="666" t="s">
        <v>1407</v>
      </c>
    </row>
    <row r="277" spans="1:42" ht="45">
      <c r="B277" s="172" t="s">
        <v>729</v>
      </c>
      <c r="C277" s="376" t="s">
        <v>1119</v>
      </c>
      <c r="D277" s="171" t="s">
        <v>1094</v>
      </c>
      <c r="E277" s="488"/>
      <c r="F277" s="270"/>
      <c r="G277" s="731"/>
      <c r="H277" s="481">
        <v>0</v>
      </c>
      <c r="I277" s="59">
        <v>0</v>
      </c>
      <c r="J277" s="155">
        <v>568182.85</v>
      </c>
      <c r="K277" s="494">
        <v>0</v>
      </c>
      <c r="L277" s="494">
        <v>0</v>
      </c>
      <c r="M277" s="8">
        <f t="shared" si="90"/>
        <v>568182.85</v>
      </c>
      <c r="N277" s="306"/>
      <c r="O277" s="306"/>
      <c r="P277" s="306"/>
      <c r="Q277" s="306"/>
      <c r="R277" s="306"/>
      <c r="S277" s="322">
        <f t="shared" ref="S277:S280" si="91">SUM(N277:R277)</f>
        <v>0</v>
      </c>
      <c r="T277" s="307"/>
      <c r="U277" s="307"/>
      <c r="V277" s="307"/>
      <c r="W277" s="307"/>
      <c r="X277" s="307"/>
      <c r="Y277" s="307"/>
      <c r="Z277" s="480">
        <v>0</v>
      </c>
      <c r="AA277" s="480">
        <v>0</v>
      </c>
      <c r="AB277" s="155">
        <v>568182.85</v>
      </c>
      <c r="AC277" s="480">
        <v>0</v>
      </c>
      <c r="AD277" s="480">
        <v>0</v>
      </c>
      <c r="AE277" s="8">
        <f t="shared" si="89"/>
        <v>568182.85</v>
      </c>
      <c r="AP277" s="666" t="s">
        <v>1407</v>
      </c>
    </row>
    <row r="278" spans="1:42" ht="18.75">
      <c r="B278" s="172" t="s">
        <v>1098</v>
      </c>
      <c r="C278" s="292" t="s">
        <v>1144</v>
      </c>
      <c r="D278" s="171" t="s">
        <v>1040</v>
      </c>
      <c r="E278" s="488"/>
      <c r="F278" s="270"/>
      <c r="G278" s="731"/>
      <c r="H278" s="481">
        <v>0</v>
      </c>
      <c r="I278" s="59">
        <f>399994.48-399994.48</f>
        <v>0</v>
      </c>
      <c r="J278" s="155">
        <v>400000</v>
      </c>
      <c r="K278" s="494">
        <v>0</v>
      </c>
      <c r="L278" s="494">
        <v>0</v>
      </c>
      <c r="M278" s="8">
        <f t="shared" ref="M278" si="92">SUM(H278:L278)</f>
        <v>400000</v>
      </c>
      <c r="N278" s="306"/>
      <c r="O278" s="306"/>
      <c r="P278" s="306"/>
      <c r="Q278" s="306"/>
      <c r="R278" s="306"/>
      <c r="S278" s="322">
        <f t="shared" si="91"/>
        <v>0</v>
      </c>
      <c r="T278" s="307"/>
      <c r="U278" s="307"/>
      <c r="V278" s="307"/>
      <c r="W278" s="307"/>
      <c r="X278" s="307"/>
      <c r="Y278" s="307"/>
      <c r="Z278" s="480">
        <v>0</v>
      </c>
      <c r="AA278" s="480">
        <v>0</v>
      </c>
      <c r="AB278" s="155">
        <v>400000</v>
      </c>
      <c r="AC278" s="480">
        <v>0</v>
      </c>
      <c r="AD278" s="480">
        <v>0</v>
      </c>
      <c r="AE278" s="8">
        <f t="shared" si="89"/>
        <v>400000</v>
      </c>
      <c r="AP278" s="666" t="s">
        <v>1404</v>
      </c>
    </row>
    <row r="279" spans="1:42" ht="30">
      <c r="B279" s="172" t="s">
        <v>1099</v>
      </c>
      <c r="C279" s="292" t="s">
        <v>1409</v>
      </c>
      <c r="D279" s="171" t="s">
        <v>1041</v>
      </c>
      <c r="E279" s="488"/>
      <c r="F279" s="270"/>
      <c r="G279" s="731"/>
      <c r="H279" s="481">
        <v>0</v>
      </c>
      <c r="I279" s="59">
        <f>80997.01+175557.11+57709.76-314263.88</f>
        <v>0</v>
      </c>
      <c r="J279" s="155">
        <v>209509.25</v>
      </c>
      <c r="K279" s="494">
        <v>0</v>
      </c>
      <c r="L279" s="494">
        <v>0</v>
      </c>
      <c r="M279" s="8">
        <f t="shared" ref="M279" si="93">SUM(H279:L279)</f>
        <v>209509.25</v>
      </c>
      <c r="N279" s="306"/>
      <c r="O279" s="306"/>
      <c r="P279" s="322">
        <v>46092.03</v>
      </c>
      <c r="Q279" s="306"/>
      <c r="R279" s="306"/>
      <c r="S279" s="322">
        <f t="shared" si="91"/>
        <v>46092.03</v>
      </c>
      <c r="T279" s="307"/>
      <c r="U279" s="307"/>
      <c r="V279" s="322">
        <f>+J279-P279</f>
        <v>163417.22</v>
      </c>
      <c r="W279" s="307"/>
      <c r="X279" s="307"/>
      <c r="Y279" s="307"/>
      <c r="Z279" s="480">
        <v>0</v>
      </c>
      <c r="AA279" s="480">
        <v>0</v>
      </c>
      <c r="AB279" s="488">
        <v>209509.25</v>
      </c>
      <c r="AC279" s="480">
        <v>0</v>
      </c>
      <c r="AD279" s="480">
        <v>0</v>
      </c>
      <c r="AE279" s="8">
        <f t="shared" si="89"/>
        <v>209509.25</v>
      </c>
      <c r="AP279" s="666" t="s">
        <v>1407</v>
      </c>
    </row>
    <row r="280" spans="1:42" ht="30">
      <c r="B280" s="172" t="s">
        <v>1100</v>
      </c>
      <c r="C280" s="376" t="s">
        <v>1118</v>
      </c>
      <c r="D280" s="171" t="s">
        <v>1050</v>
      </c>
      <c r="E280" s="488"/>
      <c r="F280" s="270"/>
      <c r="G280" s="731"/>
      <c r="H280" s="481">
        <v>0</v>
      </c>
      <c r="I280" s="59">
        <f>8007.97-8007.97</f>
        <v>0</v>
      </c>
      <c r="J280" s="59">
        <v>7910.41</v>
      </c>
      <c r="K280" s="494">
        <v>0</v>
      </c>
      <c r="L280" s="494">
        <v>0</v>
      </c>
      <c r="M280" s="8">
        <f t="shared" ref="M280:M288" si="94">SUM(H280:L280)</f>
        <v>7910.41</v>
      </c>
      <c r="N280" s="306"/>
      <c r="O280" s="306"/>
      <c r="P280" s="306"/>
      <c r="Q280" s="306"/>
      <c r="R280" s="306"/>
      <c r="S280" s="322">
        <f t="shared" si="91"/>
        <v>0</v>
      </c>
      <c r="T280" s="307"/>
      <c r="U280" s="307"/>
      <c r="V280" s="307"/>
      <c r="W280" s="307"/>
      <c r="X280" s="307"/>
      <c r="Y280" s="307"/>
      <c r="Z280" s="480">
        <v>0</v>
      </c>
      <c r="AA280" s="480">
        <v>0</v>
      </c>
      <c r="AB280" s="488">
        <v>7910.41</v>
      </c>
      <c r="AC280" s="480">
        <v>0</v>
      </c>
      <c r="AD280" s="480">
        <v>0</v>
      </c>
      <c r="AE280" s="8">
        <f t="shared" si="89"/>
        <v>7910.41</v>
      </c>
      <c r="AP280" s="666" t="s">
        <v>1407</v>
      </c>
    </row>
    <row r="281" spans="1:42" ht="60">
      <c r="B281" s="492">
        <v>1.1399999999999999</v>
      </c>
      <c r="C281" s="376" t="s">
        <v>1145</v>
      </c>
      <c r="D281" s="171" t="s">
        <v>1097</v>
      </c>
      <c r="E281" s="488" t="s">
        <v>29</v>
      </c>
      <c r="F281" s="270"/>
      <c r="G281" s="731"/>
      <c r="H281" s="481">
        <v>0</v>
      </c>
      <c r="I281" s="59">
        <f t="shared" ref="I281:I283" si="95">8007.97-8007.97</f>
        <v>0</v>
      </c>
      <c r="J281" s="59">
        <v>129176.9</v>
      </c>
      <c r="K281" s="494">
        <v>0</v>
      </c>
      <c r="L281" s="494">
        <v>0</v>
      </c>
      <c r="M281" s="8">
        <f t="shared" si="94"/>
        <v>129176.9</v>
      </c>
      <c r="N281" s="306"/>
      <c r="O281" s="306"/>
      <c r="P281" s="306"/>
      <c r="Q281" s="306"/>
      <c r="R281" s="306"/>
      <c r="S281" s="306"/>
      <c r="T281" s="307"/>
      <c r="U281" s="307"/>
      <c r="V281" s="307"/>
      <c r="W281" s="307"/>
      <c r="X281" s="307"/>
      <c r="Y281" s="307"/>
      <c r="Z281" s="480">
        <v>0</v>
      </c>
      <c r="AA281" s="480">
        <v>0</v>
      </c>
      <c r="AB281" s="480">
        <v>111359.4</v>
      </c>
      <c r="AC281" s="480">
        <v>0</v>
      </c>
      <c r="AD281" s="480">
        <v>0</v>
      </c>
      <c r="AE281" s="8">
        <f t="shared" ref="AE281:AE293" si="96">SUM(Z281:AD281)</f>
        <v>111359.4</v>
      </c>
      <c r="AP281" s="666" t="s">
        <v>1407</v>
      </c>
    </row>
    <row r="282" spans="1:42" ht="30">
      <c r="B282" s="492">
        <v>1.1499999999999999</v>
      </c>
      <c r="C282" s="376" t="s">
        <v>1149</v>
      </c>
      <c r="D282" s="171" t="s">
        <v>1104</v>
      </c>
      <c r="E282" s="488"/>
      <c r="F282" s="270"/>
      <c r="G282" s="731"/>
      <c r="H282" s="481">
        <v>0</v>
      </c>
      <c r="I282" s="59">
        <f t="shared" si="95"/>
        <v>0</v>
      </c>
      <c r="J282" s="59">
        <v>33067.47</v>
      </c>
      <c r="K282" s="494">
        <v>0</v>
      </c>
      <c r="L282" s="494">
        <v>0</v>
      </c>
      <c r="M282" s="8">
        <f t="shared" si="94"/>
        <v>33067.47</v>
      </c>
      <c r="N282" s="306"/>
      <c r="O282" s="306"/>
      <c r="P282" s="306"/>
      <c r="Q282" s="306"/>
      <c r="R282" s="306"/>
      <c r="S282" s="306"/>
      <c r="T282" s="307"/>
      <c r="U282" s="307"/>
      <c r="V282" s="307"/>
      <c r="W282" s="307"/>
      <c r="X282" s="307"/>
      <c r="Y282" s="307"/>
      <c r="Z282" s="480">
        <v>0</v>
      </c>
      <c r="AA282" s="480">
        <v>0</v>
      </c>
      <c r="AB282" s="59">
        <v>33067.47</v>
      </c>
      <c r="AC282" s="480">
        <v>0</v>
      </c>
      <c r="AD282" s="480">
        <v>0</v>
      </c>
      <c r="AE282" s="8">
        <f t="shared" si="96"/>
        <v>33067.47</v>
      </c>
      <c r="AP282" s="666" t="s">
        <v>1407</v>
      </c>
    </row>
    <row r="283" spans="1:42" ht="75">
      <c r="B283" s="492">
        <v>1.1599999999999999</v>
      </c>
      <c r="C283" s="376" t="s">
        <v>1150</v>
      </c>
      <c r="D283" s="171" t="s">
        <v>1105</v>
      </c>
      <c r="E283" s="488"/>
      <c r="F283" s="270"/>
      <c r="G283" s="731"/>
      <c r="H283" s="481">
        <v>0</v>
      </c>
      <c r="I283" s="59">
        <f t="shared" si="95"/>
        <v>0</v>
      </c>
      <c r="J283" s="59">
        <v>15197.8</v>
      </c>
      <c r="K283" s="494">
        <v>0</v>
      </c>
      <c r="L283" s="494">
        <v>0</v>
      </c>
      <c r="M283" s="8">
        <f t="shared" si="94"/>
        <v>15197.8</v>
      </c>
      <c r="N283" s="306"/>
      <c r="O283" s="306"/>
      <c r="P283" s="306"/>
      <c r="Q283" s="306"/>
      <c r="R283" s="306"/>
      <c r="S283" s="306"/>
      <c r="T283" s="307"/>
      <c r="U283" s="307"/>
      <c r="V283" s="307"/>
      <c r="W283" s="307"/>
      <c r="X283" s="307"/>
      <c r="Y283" s="307"/>
      <c r="Z283" s="480">
        <v>0</v>
      </c>
      <c r="AA283" s="480">
        <v>0</v>
      </c>
      <c r="AB283" s="59">
        <v>15197.8</v>
      </c>
      <c r="AC283" s="480">
        <v>0</v>
      </c>
      <c r="AD283" s="480">
        <v>0</v>
      </c>
      <c r="AE283" s="8">
        <f t="shared" si="96"/>
        <v>15197.8</v>
      </c>
      <c r="AP283" s="666" t="s">
        <v>1407</v>
      </c>
    </row>
    <row r="284" spans="1:42" ht="30">
      <c r="B284" s="492">
        <v>1.17</v>
      </c>
      <c r="C284" s="376" t="s">
        <v>1149</v>
      </c>
      <c r="D284" s="171" t="s">
        <v>1106</v>
      </c>
      <c r="E284" s="488"/>
      <c r="F284" s="270"/>
      <c r="G284" s="731"/>
      <c r="H284" s="481">
        <v>0</v>
      </c>
      <c r="I284" s="59">
        <v>0</v>
      </c>
      <c r="J284" s="59">
        <v>79542.62</v>
      </c>
      <c r="K284" s="494">
        <v>0</v>
      </c>
      <c r="L284" s="494">
        <v>0</v>
      </c>
      <c r="M284" s="8">
        <f t="shared" si="94"/>
        <v>79542.62</v>
      </c>
      <c r="N284" s="306"/>
      <c r="O284" s="306"/>
      <c r="P284" s="306"/>
      <c r="Q284" s="306"/>
      <c r="R284" s="306"/>
      <c r="S284" s="306"/>
      <c r="T284" s="307"/>
      <c r="U284" s="307"/>
      <c r="V284" s="307"/>
      <c r="W284" s="307"/>
      <c r="X284" s="307"/>
      <c r="Y284" s="307"/>
      <c r="Z284" s="480">
        <v>0</v>
      </c>
      <c r="AA284" s="480">
        <v>0</v>
      </c>
      <c r="AB284" s="59">
        <v>79542.62</v>
      </c>
      <c r="AC284" s="480">
        <v>0</v>
      </c>
      <c r="AD284" s="480">
        <v>0</v>
      </c>
      <c r="AE284" s="8">
        <f t="shared" si="96"/>
        <v>79542.62</v>
      </c>
      <c r="AP284" s="666" t="s">
        <v>1407</v>
      </c>
    </row>
    <row r="285" spans="1:42" ht="30">
      <c r="B285" s="492">
        <v>1.18</v>
      </c>
      <c r="C285" s="376" t="s">
        <v>1361</v>
      </c>
      <c r="D285" s="171" t="s">
        <v>1122</v>
      </c>
      <c r="E285" s="488"/>
      <c r="F285" s="591">
        <v>170684.3</v>
      </c>
      <c r="G285" s="751"/>
      <c r="H285" s="481">
        <v>0</v>
      </c>
      <c r="I285" s="59">
        <v>0</v>
      </c>
      <c r="J285" s="59">
        <v>219694.58</v>
      </c>
      <c r="K285" s="494">
        <v>0</v>
      </c>
      <c r="L285" s="494">
        <v>0</v>
      </c>
      <c r="M285" s="8">
        <f t="shared" si="94"/>
        <v>219694.58</v>
      </c>
      <c r="N285" s="306"/>
      <c r="O285" s="306"/>
      <c r="P285" s="306"/>
      <c r="Q285" s="306"/>
      <c r="R285" s="306"/>
      <c r="S285" s="306"/>
      <c r="T285" s="307"/>
      <c r="U285" s="307"/>
      <c r="V285" s="307"/>
      <c r="W285" s="307"/>
      <c r="X285" s="307"/>
      <c r="Y285" s="307"/>
      <c r="Z285" s="265">
        <v>0</v>
      </c>
      <c r="AA285" s="269">
        <v>0</v>
      </c>
      <c r="AB285" s="59">
        <v>49010.28</v>
      </c>
      <c r="AC285" s="480">
        <v>0</v>
      </c>
      <c r="AD285" s="480">
        <v>0</v>
      </c>
      <c r="AE285" s="8">
        <f t="shared" si="96"/>
        <v>49010.28</v>
      </c>
      <c r="AF285" s="591"/>
      <c r="AP285" s="666" t="s">
        <v>1407</v>
      </c>
    </row>
    <row r="286" spans="1:42" ht="30.75" thickBot="1">
      <c r="B286" s="232">
        <v>1.19</v>
      </c>
      <c r="C286" s="376" t="s">
        <v>1361</v>
      </c>
      <c r="D286" s="245" t="s">
        <v>1123</v>
      </c>
      <c r="E286" s="618"/>
      <c r="F286" s="448"/>
      <c r="G286" s="731"/>
      <c r="H286" s="481">
        <v>0</v>
      </c>
      <c r="I286" s="246">
        <v>0</v>
      </c>
      <c r="J286" s="643">
        <v>219694.58</v>
      </c>
      <c r="K286" s="481">
        <v>0</v>
      </c>
      <c r="L286" s="481">
        <v>0</v>
      </c>
      <c r="M286" s="619">
        <f t="shared" si="94"/>
        <v>219694.58</v>
      </c>
      <c r="N286" s="306"/>
      <c r="O286" s="306"/>
      <c r="P286" s="306"/>
      <c r="Q286" s="306"/>
      <c r="R286" s="306"/>
      <c r="S286" s="306"/>
      <c r="T286" s="307"/>
      <c r="U286" s="307"/>
      <c r="V286" s="307"/>
      <c r="W286" s="307"/>
      <c r="X286" s="307"/>
      <c r="Y286" s="307"/>
      <c r="Z286" s="265">
        <v>0</v>
      </c>
      <c r="AA286" s="269">
        <v>0</v>
      </c>
      <c r="AB286" s="59">
        <v>117499.93</v>
      </c>
      <c r="AC286" s="480">
        <v>0</v>
      </c>
      <c r="AD286" s="480">
        <v>0</v>
      </c>
      <c r="AE286" s="8">
        <f t="shared" si="96"/>
        <v>117499.93</v>
      </c>
      <c r="AF286" s="591"/>
      <c r="AP286" s="666" t="s">
        <v>1407</v>
      </c>
    </row>
    <row r="287" spans="1:42" ht="30">
      <c r="B287" s="622" t="s">
        <v>789</v>
      </c>
      <c r="C287" s="623" t="s">
        <v>1225</v>
      </c>
      <c r="D287" s="624" t="s">
        <v>1161</v>
      </c>
      <c r="E287" s="625"/>
      <c r="F287" s="626"/>
      <c r="G287" s="752"/>
      <c r="H287" s="627">
        <v>0</v>
      </c>
      <c r="I287" s="628">
        <v>0</v>
      </c>
      <c r="J287" s="628">
        <v>43014.92</v>
      </c>
      <c r="K287" s="629">
        <v>0</v>
      </c>
      <c r="L287" s="629">
        <v>0</v>
      </c>
      <c r="M287" s="630">
        <f t="shared" si="94"/>
        <v>43014.92</v>
      </c>
      <c r="N287" s="617"/>
      <c r="O287" s="306"/>
      <c r="P287" s="306"/>
      <c r="Q287" s="306"/>
      <c r="R287" s="306"/>
      <c r="S287" s="306"/>
      <c r="T287" s="307"/>
      <c r="U287" s="307"/>
      <c r="V287" s="307"/>
      <c r="W287" s="307"/>
      <c r="X287" s="307"/>
      <c r="Y287" s="307"/>
      <c r="Z287" s="481">
        <v>0</v>
      </c>
      <c r="AA287" s="59">
        <v>0</v>
      </c>
      <c r="AB287" s="59">
        <v>43014.92</v>
      </c>
      <c r="AC287" s="494">
        <v>0</v>
      </c>
      <c r="AD287" s="494">
        <v>0</v>
      </c>
      <c r="AE287" s="8">
        <f t="shared" si="96"/>
        <v>43014.92</v>
      </c>
      <c r="AP287" s="666" t="s">
        <v>1407</v>
      </c>
    </row>
    <row r="288" spans="1:42" ht="45">
      <c r="B288" s="631">
        <v>1.21</v>
      </c>
      <c r="C288" s="376" t="s">
        <v>1224</v>
      </c>
      <c r="D288" s="171" t="s">
        <v>1162</v>
      </c>
      <c r="E288" s="488"/>
      <c r="F288" s="270"/>
      <c r="G288" s="731"/>
      <c r="H288" s="481">
        <v>0</v>
      </c>
      <c r="I288" s="59">
        <v>0</v>
      </c>
      <c r="J288" s="59">
        <v>38021.949999999997</v>
      </c>
      <c r="K288" s="494">
        <v>0</v>
      </c>
      <c r="L288" s="494">
        <v>0</v>
      </c>
      <c r="M288" s="632">
        <f t="shared" si="94"/>
        <v>38021.949999999997</v>
      </c>
      <c r="N288" s="617"/>
      <c r="O288" s="306"/>
      <c r="P288" s="306"/>
      <c r="Q288" s="306"/>
      <c r="R288" s="306"/>
      <c r="S288" s="306"/>
      <c r="T288" s="307"/>
      <c r="U288" s="307"/>
      <c r="V288" s="307"/>
      <c r="W288" s="307"/>
      <c r="X288" s="307"/>
      <c r="Y288" s="307"/>
      <c r="Z288" s="481">
        <v>0</v>
      </c>
      <c r="AA288" s="59">
        <v>0</v>
      </c>
      <c r="AB288" s="59">
        <v>38021.94</v>
      </c>
      <c r="AC288" s="494">
        <v>0</v>
      </c>
      <c r="AD288" s="494">
        <v>0</v>
      </c>
      <c r="AE288" s="8">
        <f t="shared" si="96"/>
        <v>38021.94</v>
      </c>
      <c r="AP288" s="666" t="s">
        <v>1407</v>
      </c>
    </row>
    <row r="289" spans="2:42" ht="30">
      <c r="B289" s="631">
        <v>1.22</v>
      </c>
      <c r="C289" s="376" t="s">
        <v>1224</v>
      </c>
      <c r="D289" s="171" t="s">
        <v>1163</v>
      </c>
      <c r="E289" s="488"/>
      <c r="F289" s="270"/>
      <c r="G289" s="731"/>
      <c r="H289" s="481">
        <v>0</v>
      </c>
      <c r="I289" s="59">
        <v>0</v>
      </c>
      <c r="J289" s="59">
        <v>99989.55</v>
      </c>
      <c r="K289" s="494">
        <v>0</v>
      </c>
      <c r="L289" s="494">
        <v>0</v>
      </c>
      <c r="M289" s="632">
        <f t="shared" ref="M289:M297" si="97">SUM(H289:L289)</f>
        <v>99989.55</v>
      </c>
      <c r="N289" s="617"/>
      <c r="O289" s="306"/>
      <c r="P289" s="306"/>
      <c r="Q289" s="306"/>
      <c r="R289" s="306"/>
      <c r="S289" s="306"/>
      <c r="T289" s="307"/>
      <c r="U289" s="307"/>
      <c r="V289" s="307"/>
      <c r="W289" s="307"/>
      <c r="X289" s="307"/>
      <c r="Y289" s="307"/>
      <c r="Z289" s="481">
        <v>0</v>
      </c>
      <c r="AA289" s="59">
        <v>0</v>
      </c>
      <c r="AB289" s="59">
        <v>99989.55</v>
      </c>
      <c r="AC289" s="494">
        <v>0</v>
      </c>
      <c r="AD289" s="494">
        <v>0</v>
      </c>
      <c r="AE289" s="8">
        <f t="shared" si="96"/>
        <v>99989.55</v>
      </c>
      <c r="AP289" s="666" t="s">
        <v>1407</v>
      </c>
    </row>
    <row r="290" spans="2:42" ht="30">
      <c r="B290" s="633">
        <v>1.23</v>
      </c>
      <c r="C290" s="376" t="s">
        <v>1364</v>
      </c>
      <c r="D290" s="171" t="s">
        <v>1166</v>
      </c>
      <c r="E290" s="488"/>
      <c r="F290" s="270"/>
      <c r="G290" s="731"/>
      <c r="H290" s="481">
        <v>0</v>
      </c>
      <c r="I290" s="59">
        <v>0</v>
      </c>
      <c r="J290" s="59">
        <v>233887.29</v>
      </c>
      <c r="K290" s="494">
        <v>0</v>
      </c>
      <c r="L290" s="494">
        <v>0</v>
      </c>
      <c r="M290" s="632">
        <f t="shared" si="97"/>
        <v>233887.29</v>
      </c>
      <c r="N290" s="617"/>
      <c r="O290" s="306"/>
      <c r="P290" s="306"/>
      <c r="Q290" s="306"/>
      <c r="R290" s="306"/>
      <c r="S290" s="306"/>
      <c r="T290" s="307"/>
      <c r="U290" s="307"/>
      <c r="V290" s="307"/>
      <c r="W290" s="307"/>
      <c r="X290" s="307"/>
      <c r="Y290" s="307"/>
      <c r="Z290" s="481">
        <v>0</v>
      </c>
      <c r="AA290" s="59">
        <v>0</v>
      </c>
      <c r="AB290" s="59">
        <v>233887.29</v>
      </c>
      <c r="AC290" s="494">
        <v>0</v>
      </c>
      <c r="AD290" s="494">
        <v>0</v>
      </c>
      <c r="AE290" s="8">
        <f t="shared" si="96"/>
        <v>233887.29</v>
      </c>
      <c r="AP290" s="666" t="s">
        <v>1404</v>
      </c>
    </row>
    <row r="291" spans="2:42" ht="30">
      <c r="B291" s="631">
        <v>1.24</v>
      </c>
      <c r="C291" s="376" t="s">
        <v>1363</v>
      </c>
      <c r="D291" s="171" t="s">
        <v>1226</v>
      </c>
      <c r="E291" s="488" t="s">
        <v>1228</v>
      </c>
      <c r="F291" s="270"/>
      <c r="G291" s="731"/>
      <c r="H291" s="481">
        <v>0</v>
      </c>
      <c r="I291" s="59">
        <v>0</v>
      </c>
      <c r="J291" s="59">
        <v>87694.28</v>
      </c>
      <c r="K291" s="494">
        <v>0</v>
      </c>
      <c r="L291" s="494">
        <v>0</v>
      </c>
      <c r="M291" s="632">
        <f t="shared" si="97"/>
        <v>87694.28</v>
      </c>
      <c r="N291" s="617"/>
      <c r="O291" s="306"/>
      <c r="P291" s="306"/>
      <c r="Q291" s="306"/>
      <c r="R291" s="306"/>
      <c r="S291" s="306"/>
      <c r="T291" s="307"/>
      <c r="U291" s="307"/>
      <c r="V291" s="307"/>
      <c r="W291" s="307"/>
      <c r="X291" s="307"/>
      <c r="Y291" s="307"/>
      <c r="Z291" s="481">
        <v>0</v>
      </c>
      <c r="AA291" s="59">
        <v>0</v>
      </c>
      <c r="AB291" s="59">
        <v>87694.28</v>
      </c>
      <c r="AC291" s="494">
        <v>0</v>
      </c>
      <c r="AD291" s="494">
        <v>0</v>
      </c>
      <c r="AE291" s="8">
        <f t="shared" si="96"/>
        <v>87694.28</v>
      </c>
      <c r="AP291" s="666" t="s">
        <v>1404</v>
      </c>
    </row>
    <row r="292" spans="2:42" ht="30">
      <c r="B292" s="631">
        <v>1.25</v>
      </c>
      <c r="C292" s="376" t="s">
        <v>1362</v>
      </c>
      <c r="D292" s="171" t="s">
        <v>1227</v>
      </c>
      <c r="E292" s="488" t="s">
        <v>1228</v>
      </c>
      <c r="F292" s="270"/>
      <c r="G292" s="731"/>
      <c r="H292" s="481">
        <v>0</v>
      </c>
      <c r="I292" s="59">
        <v>0</v>
      </c>
      <c r="J292" s="59">
        <v>87346.62</v>
      </c>
      <c r="K292" s="494">
        <v>0</v>
      </c>
      <c r="L292" s="494">
        <v>0</v>
      </c>
      <c r="M292" s="632">
        <f t="shared" si="97"/>
        <v>87346.62</v>
      </c>
      <c r="N292" s="617"/>
      <c r="O292" s="306"/>
      <c r="P292" s="306"/>
      <c r="Q292" s="306"/>
      <c r="R292" s="306"/>
      <c r="S292" s="306"/>
      <c r="T292" s="307"/>
      <c r="U292" s="307"/>
      <c r="V292" s="307"/>
      <c r="W292" s="307"/>
      <c r="X292" s="307"/>
      <c r="Y292" s="307"/>
      <c r="Z292" s="481">
        <v>0</v>
      </c>
      <c r="AA292" s="59">
        <v>0</v>
      </c>
      <c r="AB292" s="59">
        <v>87346.62</v>
      </c>
      <c r="AC292" s="494">
        <v>0</v>
      </c>
      <c r="AD292" s="494">
        <v>0</v>
      </c>
      <c r="AE292" s="8">
        <f t="shared" si="96"/>
        <v>87346.62</v>
      </c>
      <c r="AP292" s="666" t="s">
        <v>1407</v>
      </c>
    </row>
    <row r="293" spans="2:42" ht="30">
      <c r="B293" s="631">
        <v>1.26</v>
      </c>
      <c r="C293" s="376" t="s">
        <v>1395</v>
      </c>
      <c r="D293" s="171" t="s">
        <v>1229</v>
      </c>
      <c r="E293" s="488"/>
      <c r="F293" s="270"/>
      <c r="G293" s="731"/>
      <c r="H293" s="481">
        <v>0</v>
      </c>
      <c r="I293" s="59">
        <v>0</v>
      </c>
      <c r="J293" s="59">
        <v>71987.929999999993</v>
      </c>
      <c r="K293" s="494">
        <v>0</v>
      </c>
      <c r="L293" s="494">
        <v>0</v>
      </c>
      <c r="M293" s="632">
        <f t="shared" si="97"/>
        <v>71987.929999999993</v>
      </c>
      <c r="N293" s="617"/>
      <c r="O293" s="306"/>
      <c r="P293" s="306"/>
      <c r="Q293" s="306"/>
      <c r="R293" s="306"/>
      <c r="S293" s="306"/>
      <c r="T293" s="307"/>
      <c r="U293" s="307"/>
      <c r="V293" s="307"/>
      <c r="W293" s="307"/>
      <c r="X293" s="307"/>
      <c r="Y293" s="307"/>
      <c r="Z293" s="481">
        <v>0</v>
      </c>
      <c r="AA293" s="59">
        <v>0</v>
      </c>
      <c r="AB293" s="59">
        <v>51715.72</v>
      </c>
      <c r="AC293" s="494">
        <v>0</v>
      </c>
      <c r="AD293" s="494">
        <v>0</v>
      </c>
      <c r="AE293" s="8">
        <f t="shared" si="96"/>
        <v>51715.72</v>
      </c>
      <c r="AP293" s="666" t="s">
        <v>1407</v>
      </c>
    </row>
    <row r="294" spans="2:42" ht="60.75" thickBot="1">
      <c r="B294" s="634">
        <v>1.27</v>
      </c>
      <c r="C294" s="650" t="s">
        <v>1385</v>
      </c>
      <c r="D294" s="636" t="s">
        <v>1356</v>
      </c>
      <c r="E294" s="636"/>
      <c r="F294" s="636"/>
      <c r="G294" s="636"/>
      <c r="H294" s="637">
        <v>0</v>
      </c>
      <c r="I294" s="638">
        <v>0</v>
      </c>
      <c r="J294" s="638">
        <v>168033.52</v>
      </c>
      <c r="K294" s="637">
        <v>0</v>
      </c>
      <c r="L294" s="637">
        <v>0</v>
      </c>
      <c r="M294" s="639">
        <f t="shared" si="97"/>
        <v>168033.52</v>
      </c>
      <c r="N294" s="617"/>
      <c r="O294" s="306"/>
      <c r="P294" s="306"/>
      <c r="Q294" s="306"/>
      <c r="R294" s="306"/>
      <c r="S294" s="306"/>
      <c r="T294" s="307"/>
      <c r="U294" s="307"/>
      <c r="V294" s="307"/>
      <c r="W294" s="307"/>
      <c r="X294" s="307"/>
      <c r="Y294" s="307"/>
      <c r="Z294" s="265"/>
      <c r="AA294" s="59"/>
      <c r="AB294" s="155"/>
      <c r="AC294" s="480"/>
      <c r="AD294" s="480"/>
      <c r="AE294" s="480"/>
      <c r="AP294" s="666" t="s">
        <v>1406</v>
      </c>
    </row>
    <row r="295" spans="2:42" ht="30.75" thickBot="1">
      <c r="B295" s="634">
        <v>1.27</v>
      </c>
      <c r="C295" s="635" t="s">
        <v>1400</v>
      </c>
      <c r="D295" s="654" t="s">
        <v>1357</v>
      </c>
      <c r="E295" s="636" t="s">
        <v>1396</v>
      </c>
      <c r="F295" s="636"/>
      <c r="G295" s="636"/>
      <c r="H295" s="637">
        <v>0</v>
      </c>
      <c r="I295" s="638">
        <v>0</v>
      </c>
      <c r="J295" s="638">
        <v>51715.72</v>
      </c>
      <c r="K295" s="637">
        <v>0</v>
      </c>
      <c r="L295" s="637">
        <v>0</v>
      </c>
      <c r="M295" s="639">
        <f t="shared" si="97"/>
        <v>51715.72</v>
      </c>
      <c r="N295" s="617"/>
      <c r="O295" s="306"/>
      <c r="P295" s="306"/>
      <c r="Q295" s="306"/>
      <c r="R295" s="306"/>
      <c r="S295" s="306"/>
      <c r="T295" s="307"/>
      <c r="U295" s="307"/>
      <c r="V295" s="307"/>
      <c r="W295" s="307"/>
      <c r="X295" s="307"/>
      <c r="Y295" s="307"/>
      <c r="Z295" s="265"/>
      <c r="AA295" s="59"/>
      <c r="AB295" s="155"/>
      <c r="AC295" s="480"/>
      <c r="AD295" s="480"/>
      <c r="AE295" s="480"/>
      <c r="AP295" s="666" t="s">
        <v>1407</v>
      </c>
    </row>
    <row r="296" spans="2:42" ht="45.75" thickBot="1">
      <c r="B296" s="634">
        <v>1.28</v>
      </c>
      <c r="C296" s="650"/>
      <c r="D296" s="636" t="s">
        <v>1393</v>
      </c>
      <c r="E296" s="636"/>
      <c r="F296" s="636"/>
      <c r="G296" s="636"/>
      <c r="H296" s="637">
        <v>0</v>
      </c>
      <c r="I296" s="638">
        <v>0</v>
      </c>
      <c r="J296" s="638">
        <v>248420.9</v>
      </c>
      <c r="K296" s="637">
        <v>0</v>
      </c>
      <c r="L296" s="637">
        <v>0</v>
      </c>
      <c r="M296" s="639">
        <f t="shared" si="97"/>
        <v>248420.9</v>
      </c>
      <c r="N296" s="617"/>
      <c r="O296" s="306"/>
      <c r="P296" s="306"/>
      <c r="Q296" s="306"/>
      <c r="R296" s="306"/>
      <c r="S296" s="306"/>
      <c r="T296" s="307"/>
      <c r="U296" s="307"/>
      <c r="V296" s="307"/>
      <c r="W296" s="307"/>
      <c r="X296" s="307"/>
      <c r="Y296" s="307"/>
      <c r="Z296" s="265"/>
      <c r="AA296" s="59"/>
      <c r="AB296" s="155"/>
      <c r="AC296" s="480"/>
      <c r="AD296" s="480"/>
      <c r="AE296" s="480"/>
      <c r="AP296" s="666"/>
    </row>
    <row r="297" spans="2:42" ht="45.75" thickBot="1">
      <c r="B297" s="634">
        <v>1.29</v>
      </c>
      <c r="C297" s="650" t="s">
        <v>1397</v>
      </c>
      <c r="D297" s="636" t="s">
        <v>1394</v>
      </c>
      <c r="E297" s="636"/>
      <c r="F297" s="636"/>
      <c r="G297" s="636"/>
      <c r="H297" s="637">
        <v>0</v>
      </c>
      <c r="I297" s="638">
        <v>0</v>
      </c>
      <c r="J297" s="638">
        <v>133988.56</v>
      </c>
      <c r="K297" s="637">
        <v>0</v>
      </c>
      <c r="L297" s="637">
        <v>0</v>
      </c>
      <c r="M297" s="639">
        <f t="shared" si="97"/>
        <v>133988.56</v>
      </c>
      <c r="N297" s="617"/>
      <c r="O297" s="306"/>
      <c r="P297" s="306"/>
      <c r="Q297" s="306"/>
      <c r="R297" s="306"/>
      <c r="S297" s="306"/>
      <c r="T297" s="307"/>
      <c r="U297" s="307"/>
      <c r="V297" s="307"/>
      <c r="W297" s="307"/>
      <c r="X297" s="307"/>
      <c r="Y297" s="307"/>
      <c r="Z297" s="265"/>
      <c r="AA297" s="59"/>
      <c r="AB297" s="155"/>
      <c r="AC297" s="480"/>
      <c r="AD297" s="480"/>
      <c r="AE297" s="480"/>
      <c r="AP297" s="666" t="s">
        <v>1407</v>
      </c>
    </row>
    <row r="298" spans="2:42" ht="18.75">
      <c r="B298" s="165"/>
      <c r="C298" s="620"/>
      <c r="D298" s="1020"/>
      <c r="E298" s="1020"/>
      <c r="F298" s="1020"/>
      <c r="G298" s="753"/>
      <c r="H298" s="621"/>
      <c r="I298" s="487"/>
      <c r="J298" s="38"/>
      <c r="K298" s="335"/>
      <c r="L298" s="335"/>
      <c r="M298" s="101"/>
      <c r="N298" s="306"/>
      <c r="O298" s="306"/>
      <c r="P298" s="306"/>
      <c r="Q298" s="306"/>
      <c r="R298" s="306"/>
      <c r="S298" s="306"/>
      <c r="T298" s="307"/>
      <c r="U298" s="307"/>
      <c r="V298" s="307"/>
      <c r="W298" s="307"/>
      <c r="X298" s="307"/>
      <c r="Y298" s="307"/>
      <c r="Z298" s="265"/>
      <c r="AA298" s="59"/>
      <c r="AB298" s="155"/>
      <c r="AC298" s="480"/>
      <c r="AD298" s="480"/>
      <c r="AE298" s="480"/>
      <c r="AP298" s="666"/>
    </row>
    <row r="299" spans="2:42" ht="18.75">
      <c r="B299" s="492"/>
      <c r="C299" s="376"/>
      <c r="D299" s="171" t="s">
        <v>1031</v>
      </c>
      <c r="E299" s="488">
        <f>E298-E290</f>
        <v>0</v>
      </c>
      <c r="F299" s="270"/>
      <c r="G299" s="731"/>
      <c r="H299" s="486"/>
      <c r="I299" s="487"/>
      <c r="J299" s="155"/>
      <c r="K299" s="480"/>
      <c r="L299" s="480"/>
      <c r="M299" s="8"/>
      <c r="N299" s="306"/>
      <c r="O299" s="306"/>
      <c r="P299" s="306"/>
      <c r="Q299" s="306"/>
      <c r="R299" s="306"/>
      <c r="S299" s="306"/>
      <c r="T299" s="307"/>
      <c r="U299" s="307"/>
      <c r="V299" s="307"/>
      <c r="W299" s="307"/>
      <c r="X299" s="307"/>
      <c r="Y299" s="307"/>
      <c r="Z299" s="265"/>
      <c r="AA299" s="59"/>
      <c r="AB299" s="155"/>
      <c r="AC299" s="480"/>
      <c r="AD299" s="480"/>
      <c r="AE299" s="480"/>
      <c r="AP299" s="666"/>
    </row>
    <row r="300" spans="2:42" ht="15.75">
      <c r="B300" s="193"/>
      <c r="C300" s="178"/>
      <c r="D300" s="160" t="s">
        <v>6</v>
      </c>
      <c r="E300" s="2"/>
      <c r="F300" s="270"/>
      <c r="G300" s="533"/>
      <c r="H300" s="170">
        <f>SUM(H267:H286)</f>
        <v>0</v>
      </c>
      <c r="I300" s="170">
        <f>SUM(I267:I286)</f>
        <v>11753.07</v>
      </c>
      <c r="J300" s="170">
        <f>SUM(J267:J297)</f>
        <v>4988246.93</v>
      </c>
      <c r="K300" s="170">
        <f>SUM(K267:K299)</f>
        <v>0</v>
      </c>
      <c r="L300" s="170">
        <f>SUM(L267:L299)</f>
        <v>0</v>
      </c>
      <c r="M300" s="170">
        <f>SUM(M267:M286)</f>
        <v>3735898.7600000007</v>
      </c>
      <c r="N300" s="170">
        <f>SUM(N267:N299)</f>
        <v>0</v>
      </c>
      <c r="O300" s="170">
        <f t="shared" ref="O300:S300" si="98">SUM(O267:O299)</f>
        <v>0</v>
      </c>
      <c r="P300" s="170">
        <f t="shared" si="98"/>
        <v>599092.77</v>
      </c>
      <c r="Q300" s="170">
        <f t="shared" si="98"/>
        <v>0</v>
      </c>
      <c r="R300" s="170">
        <f t="shared" si="98"/>
        <v>0</v>
      </c>
      <c r="S300" s="170">
        <f t="shared" si="98"/>
        <v>599092.77</v>
      </c>
      <c r="T300" s="170">
        <f t="shared" ref="T300:AD300" si="99">SUM(T267:T269)</f>
        <v>0</v>
      </c>
      <c r="U300" s="170">
        <f t="shared" si="99"/>
        <v>0</v>
      </c>
      <c r="V300" s="170">
        <f t="shared" si="99"/>
        <v>349651.30000000005</v>
      </c>
      <c r="W300" s="170">
        <f t="shared" si="99"/>
        <v>0</v>
      </c>
      <c r="X300" s="170">
        <f t="shared" si="99"/>
        <v>0</v>
      </c>
      <c r="Y300" s="170">
        <f t="shared" si="99"/>
        <v>0</v>
      </c>
      <c r="Z300" s="170">
        <f t="shared" si="99"/>
        <v>0</v>
      </c>
      <c r="AA300" s="170">
        <f t="shared" si="99"/>
        <v>439812.96</v>
      </c>
      <c r="AB300" s="170">
        <f t="shared" si="99"/>
        <v>69600</v>
      </c>
      <c r="AC300" s="170">
        <f t="shared" si="99"/>
        <v>0</v>
      </c>
      <c r="AD300" s="170">
        <f t="shared" si="99"/>
        <v>0</v>
      </c>
      <c r="AE300" s="170">
        <f>SUM(AE268:AE298)</f>
        <v>3541750.9299999997</v>
      </c>
      <c r="AP300" s="666"/>
    </row>
    <row r="301" spans="2:42" ht="15.75">
      <c r="B301" s="60"/>
      <c r="C301" s="227"/>
      <c r="F301" s="228"/>
      <c r="G301" s="592"/>
      <c r="M301" s="55"/>
      <c r="N301" s="230"/>
      <c r="O301" s="230"/>
      <c r="P301" s="230"/>
      <c r="Q301" s="230"/>
      <c r="R301" s="230"/>
      <c r="S301" s="230"/>
      <c r="T301" s="231"/>
      <c r="U301" s="231"/>
      <c r="V301" s="231"/>
      <c r="W301" s="231"/>
      <c r="X301" s="231"/>
      <c r="Y301" s="231"/>
      <c r="Z301" s="231"/>
      <c r="AA301" s="231"/>
      <c r="AB301" s="231"/>
      <c r="AC301" s="231"/>
      <c r="AD301" s="231"/>
      <c r="AE301" s="231"/>
      <c r="AP301" s="666"/>
    </row>
    <row r="302" spans="2:42" ht="18.75" hidden="1">
      <c r="B302" s="100"/>
      <c r="C302" s="271"/>
      <c r="D302" s="102" t="s">
        <v>34</v>
      </c>
      <c r="E302" s="275"/>
      <c r="F302" s="272"/>
      <c r="G302" s="533"/>
      <c r="H302" s="107">
        <f>SUM(H303:H338)</f>
        <v>0</v>
      </c>
      <c r="I302" s="107">
        <f t="shared" ref="I302:L302" si="100">SUM(I303:I338)</f>
        <v>0</v>
      </c>
      <c r="J302" s="107">
        <f t="shared" si="100"/>
        <v>8000000</v>
      </c>
      <c r="K302" s="107">
        <f t="shared" si="100"/>
        <v>0</v>
      </c>
      <c r="L302" s="107">
        <f t="shared" si="100"/>
        <v>0</v>
      </c>
      <c r="M302" s="273">
        <f>SUM(H302:L302)</f>
        <v>8000000</v>
      </c>
      <c r="N302" s="306"/>
      <c r="O302" s="306"/>
      <c r="P302" s="306"/>
      <c r="Q302" s="306"/>
      <c r="R302" s="306"/>
      <c r="S302" s="306"/>
      <c r="T302" s="307"/>
      <c r="U302" s="307"/>
      <c r="V302" s="307"/>
      <c r="W302" s="307"/>
      <c r="X302" s="307"/>
      <c r="Y302" s="307"/>
      <c r="Z302" s="307"/>
      <c r="AA302" s="307"/>
      <c r="AB302" s="307"/>
      <c r="AC302" s="307"/>
      <c r="AD302" s="307"/>
      <c r="AE302" s="307"/>
      <c r="AP302" s="666"/>
    </row>
    <row r="303" spans="2:42" ht="18.75" hidden="1">
      <c r="B303" s="61">
        <v>1</v>
      </c>
      <c r="C303" s="247"/>
      <c r="D303" s="11" t="s">
        <v>35</v>
      </c>
      <c r="E303" s="276"/>
      <c r="F303" s="270"/>
      <c r="G303" s="533"/>
      <c r="H303" s="480">
        <v>0</v>
      </c>
      <c r="I303" s="269">
        <v>0</v>
      </c>
      <c r="J303" s="59">
        <f>8000000-8000000</f>
        <v>0</v>
      </c>
      <c r="K303" s="480">
        <v>0</v>
      </c>
      <c r="L303" s="480">
        <v>0</v>
      </c>
      <c r="M303" s="373">
        <f t="shared" ref="M303:M339" si="101">SUM(H303:L303)</f>
        <v>0</v>
      </c>
      <c r="N303" s="306"/>
      <c r="O303" s="306"/>
      <c r="P303" s="306"/>
      <c r="Q303" s="306"/>
      <c r="R303" s="306"/>
      <c r="S303" s="306"/>
      <c r="T303" s="307"/>
      <c r="U303" s="307"/>
      <c r="V303" s="307"/>
      <c r="W303" s="307"/>
      <c r="X303" s="307"/>
      <c r="Y303" s="307"/>
      <c r="Z303" s="307"/>
      <c r="AA303" s="307"/>
      <c r="AB303" s="307"/>
      <c r="AC303" s="307"/>
      <c r="AD303" s="307"/>
      <c r="AE303" s="307"/>
      <c r="AP303" s="666"/>
    </row>
    <row r="304" spans="2:42" ht="60" hidden="1">
      <c r="B304" s="193">
        <v>1.1000000000000001</v>
      </c>
      <c r="C304" s="681" t="s">
        <v>1421</v>
      </c>
      <c r="D304" s="171" t="s">
        <v>1178</v>
      </c>
      <c r="E304" s="276"/>
      <c r="F304" s="270"/>
      <c r="G304" s="533"/>
      <c r="H304" s="480">
        <v>0</v>
      </c>
      <c r="I304" s="269">
        <v>0</v>
      </c>
      <c r="J304" s="59">
        <v>0</v>
      </c>
      <c r="K304" s="480">
        <v>0</v>
      </c>
      <c r="L304" s="480">
        <v>0</v>
      </c>
      <c r="M304" s="373">
        <f>SUM(H304:L304)</f>
        <v>0</v>
      </c>
      <c r="N304" s="322"/>
      <c r="O304" s="322"/>
      <c r="P304" s="322"/>
      <c r="Q304" s="322"/>
      <c r="R304" s="322"/>
      <c r="S304" s="322">
        <f>SUM(N304:R304)</f>
        <v>0</v>
      </c>
      <c r="T304" s="307"/>
      <c r="U304" s="307"/>
      <c r="V304" s="322">
        <f>+J304-P304</f>
        <v>0</v>
      </c>
      <c r="W304" s="307"/>
      <c r="X304" s="307"/>
      <c r="Y304" s="307"/>
      <c r="Z304" s="307"/>
      <c r="AA304" s="307"/>
      <c r="AB304" s="307"/>
      <c r="AC304" s="307"/>
      <c r="AD304" s="307"/>
      <c r="AE304" s="307"/>
      <c r="AP304" s="666"/>
    </row>
    <row r="305" spans="2:42" ht="30" hidden="1">
      <c r="B305" s="193">
        <f>B304+0.1</f>
        <v>1.2000000000000002</v>
      </c>
      <c r="C305" s="682" t="s">
        <v>1422</v>
      </c>
      <c r="D305" s="171" t="s">
        <v>1179</v>
      </c>
      <c r="E305" s="276"/>
      <c r="F305" s="270"/>
      <c r="G305" s="533"/>
      <c r="H305" s="480">
        <v>0</v>
      </c>
      <c r="I305" s="269">
        <v>0</v>
      </c>
      <c r="J305" s="59">
        <v>231873.92000000001</v>
      </c>
      <c r="K305" s="480">
        <v>0</v>
      </c>
      <c r="L305" s="480">
        <v>0</v>
      </c>
      <c r="M305" s="373">
        <f t="shared" ref="M305:M338" si="102">SUM(H305:L305)</f>
        <v>231873.92000000001</v>
      </c>
      <c r="N305" s="322"/>
      <c r="O305" s="322"/>
      <c r="P305" s="322">
        <v>231873.92000000001</v>
      </c>
      <c r="Q305" s="322"/>
      <c r="R305" s="322"/>
      <c r="S305" s="322">
        <f t="shared" ref="S305:S339" si="103">SUM(N305:R305)</f>
        <v>231873.92000000001</v>
      </c>
      <c r="T305" s="307"/>
      <c r="U305" s="307"/>
      <c r="V305" s="322">
        <f t="shared" ref="V305:V339" si="104">+J305-P305</f>
        <v>0</v>
      </c>
      <c r="W305" s="307"/>
      <c r="X305" s="307"/>
      <c r="Y305" s="307"/>
      <c r="Z305" s="307"/>
      <c r="AA305" s="307"/>
      <c r="AB305" s="307"/>
      <c r="AC305" s="307"/>
      <c r="AD305" s="307"/>
      <c r="AE305" s="307"/>
      <c r="AP305" s="666"/>
    </row>
    <row r="306" spans="2:42" ht="150" hidden="1">
      <c r="B306" s="193">
        <f t="shared" ref="B306:B312" si="105">B305+0.1</f>
        <v>1.3000000000000003</v>
      </c>
      <c r="C306" s="682" t="s">
        <v>1423</v>
      </c>
      <c r="D306" s="171" t="s">
        <v>1180</v>
      </c>
      <c r="E306" s="276"/>
      <c r="F306" s="270"/>
      <c r="G306" s="533"/>
      <c r="H306" s="480">
        <v>0</v>
      </c>
      <c r="I306" s="269">
        <v>0</v>
      </c>
      <c r="J306" s="59">
        <v>320052.21000000002</v>
      </c>
      <c r="K306" s="480">
        <v>0</v>
      </c>
      <c r="L306" s="480">
        <v>0</v>
      </c>
      <c r="M306" s="373">
        <f t="shared" si="102"/>
        <v>320052.21000000002</v>
      </c>
      <c r="N306" s="322"/>
      <c r="O306" s="322"/>
      <c r="P306" s="322">
        <v>317269.40000000002</v>
      </c>
      <c r="Q306" s="322"/>
      <c r="R306" s="322"/>
      <c r="S306" s="322">
        <f t="shared" si="103"/>
        <v>317269.40000000002</v>
      </c>
      <c r="T306" s="307"/>
      <c r="U306" s="307"/>
      <c r="V306" s="322">
        <f t="shared" si="104"/>
        <v>2782.8099999999977</v>
      </c>
      <c r="W306" s="307"/>
      <c r="X306" s="307"/>
      <c r="Y306" s="307"/>
      <c r="Z306" s="307"/>
      <c r="AA306" s="307"/>
      <c r="AB306" s="307"/>
      <c r="AC306" s="307"/>
      <c r="AD306" s="307"/>
      <c r="AE306" s="307"/>
      <c r="AP306" s="666"/>
    </row>
    <row r="307" spans="2:42" ht="120" hidden="1">
      <c r="B307" s="193">
        <f t="shared" si="105"/>
        <v>1.4000000000000004</v>
      </c>
      <c r="C307" s="682" t="s">
        <v>1424</v>
      </c>
      <c r="D307" s="171" t="s">
        <v>1181</v>
      </c>
      <c r="E307" s="276"/>
      <c r="F307" s="270"/>
      <c r="G307" s="533"/>
      <c r="H307" s="480">
        <v>0</v>
      </c>
      <c r="I307" s="480">
        <v>0</v>
      </c>
      <c r="J307" s="155">
        <v>330827.74</v>
      </c>
      <c r="K307" s="480">
        <v>0</v>
      </c>
      <c r="L307" s="480">
        <v>0</v>
      </c>
      <c r="M307" s="373">
        <f t="shared" si="102"/>
        <v>330827.74</v>
      </c>
      <c r="N307" s="322"/>
      <c r="O307" s="322"/>
      <c r="P307" s="322">
        <v>330827.74</v>
      </c>
      <c r="Q307" s="322"/>
      <c r="R307" s="322"/>
      <c r="S307" s="322">
        <f t="shared" si="103"/>
        <v>330827.74</v>
      </c>
      <c r="T307" s="307"/>
      <c r="U307" s="307"/>
      <c r="V307" s="322">
        <f t="shared" si="104"/>
        <v>0</v>
      </c>
      <c r="W307" s="307"/>
      <c r="X307" s="307"/>
      <c r="Y307" s="307"/>
      <c r="Z307" s="307"/>
      <c r="AA307" s="307"/>
      <c r="AB307" s="307"/>
      <c r="AC307" s="307"/>
      <c r="AD307" s="307"/>
      <c r="AE307" s="307"/>
      <c r="AP307" s="666"/>
    </row>
    <row r="308" spans="2:42" ht="225" hidden="1">
      <c r="B308" s="193">
        <f t="shared" si="105"/>
        <v>1.5000000000000004</v>
      </c>
      <c r="C308" s="682" t="s">
        <v>1425</v>
      </c>
      <c r="D308" s="171" t="s">
        <v>1182</v>
      </c>
      <c r="E308" s="276"/>
      <c r="F308" s="270"/>
      <c r="G308" s="533"/>
      <c r="H308" s="480">
        <v>0</v>
      </c>
      <c r="I308" s="480">
        <v>0</v>
      </c>
      <c r="J308" s="155">
        <v>422929.45999999996</v>
      </c>
      <c r="K308" s="480">
        <v>0</v>
      </c>
      <c r="L308" s="480">
        <v>0</v>
      </c>
      <c r="M308" s="373">
        <f t="shared" si="102"/>
        <v>422929.45999999996</v>
      </c>
      <c r="N308" s="322"/>
      <c r="O308" s="322"/>
      <c r="P308" s="322">
        <v>379721.55</v>
      </c>
      <c r="Q308" s="322"/>
      <c r="R308" s="322"/>
      <c r="S308" s="322">
        <f t="shared" si="103"/>
        <v>379721.55</v>
      </c>
      <c r="T308" s="307"/>
      <c r="U308" s="307"/>
      <c r="V308" s="322">
        <f t="shared" si="104"/>
        <v>43207.909999999974</v>
      </c>
      <c r="W308" s="307"/>
      <c r="X308" s="307"/>
      <c r="Y308" s="307"/>
      <c r="Z308" s="307"/>
      <c r="AA308" s="307"/>
      <c r="AB308" s="307"/>
      <c r="AC308" s="307"/>
      <c r="AD308" s="307"/>
      <c r="AE308" s="307"/>
      <c r="AP308" s="666"/>
    </row>
    <row r="309" spans="2:42" ht="90" hidden="1" customHeight="1">
      <c r="B309" s="193">
        <f t="shared" si="105"/>
        <v>1.6000000000000005</v>
      </c>
      <c r="C309" s="682" t="s">
        <v>1426</v>
      </c>
      <c r="D309" s="171" t="s">
        <v>1183</v>
      </c>
      <c r="E309" s="276"/>
      <c r="F309" s="270"/>
      <c r="G309" s="533"/>
      <c r="H309" s="480">
        <v>0</v>
      </c>
      <c r="I309" s="269">
        <v>0</v>
      </c>
      <c r="J309" s="59">
        <v>213112.9</v>
      </c>
      <c r="K309" s="480">
        <v>0</v>
      </c>
      <c r="L309" s="480">
        <v>0</v>
      </c>
      <c r="M309" s="373">
        <f t="shared" si="102"/>
        <v>213112.9</v>
      </c>
      <c r="N309" s="322"/>
      <c r="O309" s="322"/>
      <c r="P309" s="322">
        <v>213112.9</v>
      </c>
      <c r="Q309" s="322"/>
      <c r="R309" s="322"/>
      <c r="S309" s="322">
        <f t="shared" si="103"/>
        <v>213112.9</v>
      </c>
      <c r="T309" s="307"/>
      <c r="U309" s="307"/>
      <c r="V309" s="322">
        <f t="shared" si="104"/>
        <v>0</v>
      </c>
      <c r="W309" s="307"/>
      <c r="X309" s="307"/>
      <c r="Y309" s="307"/>
      <c r="Z309" s="307"/>
      <c r="AA309" s="307"/>
      <c r="AB309" s="307"/>
      <c r="AC309" s="307"/>
      <c r="AD309" s="307"/>
      <c r="AE309" s="307"/>
      <c r="AP309" s="666"/>
    </row>
    <row r="310" spans="2:42" ht="150" hidden="1">
      <c r="B310" s="193">
        <f t="shared" si="105"/>
        <v>1.7000000000000006</v>
      </c>
      <c r="C310" s="682" t="s">
        <v>1427</v>
      </c>
      <c r="D310" s="171" t="s">
        <v>1184</v>
      </c>
      <c r="E310" s="276"/>
      <c r="F310" s="270"/>
      <c r="G310" s="533"/>
      <c r="H310" s="480">
        <v>0</v>
      </c>
      <c r="I310" s="269">
        <v>0</v>
      </c>
      <c r="J310" s="59">
        <v>419159.71</v>
      </c>
      <c r="K310" s="480">
        <v>0</v>
      </c>
      <c r="L310" s="480">
        <v>0</v>
      </c>
      <c r="M310" s="373">
        <f t="shared" si="102"/>
        <v>419159.71</v>
      </c>
      <c r="N310" s="322"/>
      <c r="O310" s="322"/>
      <c r="P310" s="322">
        <v>419159.71</v>
      </c>
      <c r="Q310" s="322"/>
      <c r="R310" s="322"/>
      <c r="S310" s="322">
        <f t="shared" si="103"/>
        <v>419159.71</v>
      </c>
      <c r="T310" s="307"/>
      <c r="U310" s="307"/>
      <c r="V310" s="322">
        <f t="shared" si="104"/>
        <v>0</v>
      </c>
      <c r="W310" s="307"/>
      <c r="X310" s="307"/>
      <c r="Y310" s="307"/>
      <c r="Z310" s="307"/>
      <c r="AA310" s="307"/>
      <c r="AB310" s="307"/>
      <c r="AC310" s="307"/>
      <c r="AD310" s="307"/>
      <c r="AE310" s="307"/>
      <c r="AP310" s="666"/>
    </row>
    <row r="311" spans="2:42" ht="225" hidden="1">
      <c r="B311" s="193">
        <f t="shared" si="105"/>
        <v>1.8000000000000007</v>
      </c>
      <c r="C311" s="682" t="s">
        <v>1428</v>
      </c>
      <c r="D311" s="171" t="s">
        <v>1185</v>
      </c>
      <c r="E311" s="276"/>
      <c r="F311" s="270"/>
      <c r="G311" s="533"/>
      <c r="H311" s="480">
        <v>0</v>
      </c>
      <c r="I311" s="480">
        <v>0</v>
      </c>
      <c r="J311" s="155">
        <v>319998.15999999997</v>
      </c>
      <c r="K311" s="480">
        <v>0</v>
      </c>
      <c r="L311" s="480">
        <v>0</v>
      </c>
      <c r="M311" s="373">
        <f t="shared" si="102"/>
        <v>319998.15999999997</v>
      </c>
      <c r="N311" s="322"/>
      <c r="O311" s="322"/>
      <c r="P311" s="322"/>
      <c r="Q311" s="322"/>
      <c r="R311" s="322"/>
      <c r="S311" s="322">
        <f t="shared" si="103"/>
        <v>0</v>
      </c>
      <c r="T311" s="307"/>
      <c r="U311" s="307"/>
      <c r="V311" s="322">
        <f t="shared" si="104"/>
        <v>319998.15999999997</v>
      </c>
      <c r="W311" s="307"/>
      <c r="X311" s="307"/>
      <c r="Y311" s="307"/>
      <c r="Z311" s="307"/>
      <c r="AA311" s="307"/>
      <c r="AB311" s="307"/>
      <c r="AC311" s="307"/>
      <c r="AD311" s="307"/>
      <c r="AE311" s="307"/>
      <c r="AP311" s="666"/>
    </row>
    <row r="312" spans="2:42" ht="195" hidden="1">
      <c r="B312" s="193">
        <f t="shared" si="105"/>
        <v>1.9000000000000008</v>
      </c>
      <c r="C312" s="682" t="s">
        <v>1429</v>
      </c>
      <c r="D312" s="171" t="s">
        <v>1186</v>
      </c>
      <c r="E312" s="276"/>
      <c r="F312" s="270"/>
      <c r="G312" s="533"/>
      <c r="H312" s="480">
        <v>0</v>
      </c>
      <c r="I312" s="480">
        <v>0</v>
      </c>
      <c r="J312" s="155">
        <v>410559.57999999996</v>
      </c>
      <c r="K312" s="480">
        <v>0</v>
      </c>
      <c r="L312" s="480">
        <v>0</v>
      </c>
      <c r="M312" s="373">
        <f t="shared" si="102"/>
        <v>410559.57999999996</v>
      </c>
      <c r="N312" s="322"/>
      <c r="O312" s="322"/>
      <c r="P312" s="322">
        <v>360595.38</v>
      </c>
      <c r="Q312" s="322"/>
      <c r="R312" s="322"/>
      <c r="S312" s="322">
        <f t="shared" si="103"/>
        <v>360595.38</v>
      </c>
      <c r="T312" s="307"/>
      <c r="U312" s="307"/>
      <c r="V312" s="322">
        <f t="shared" si="104"/>
        <v>49964.199999999953</v>
      </c>
      <c r="W312" s="307"/>
      <c r="X312" s="307"/>
      <c r="Y312" s="307"/>
      <c r="Z312" s="307"/>
      <c r="AA312" s="307"/>
      <c r="AB312" s="307"/>
      <c r="AC312" s="307"/>
      <c r="AD312" s="307"/>
      <c r="AE312" s="307"/>
      <c r="AP312" s="666"/>
    </row>
    <row r="313" spans="2:42" ht="120" hidden="1">
      <c r="B313" s="348" t="s">
        <v>729</v>
      </c>
      <c r="C313" s="682" t="s">
        <v>1430</v>
      </c>
      <c r="D313" s="171" t="s">
        <v>1187</v>
      </c>
      <c r="E313" s="276"/>
      <c r="F313" s="270"/>
      <c r="G313" s="533"/>
      <c r="H313" s="480">
        <v>0</v>
      </c>
      <c r="I313" s="269">
        <v>0</v>
      </c>
      <c r="J313" s="59">
        <v>344549.52</v>
      </c>
      <c r="K313" s="480">
        <v>0</v>
      </c>
      <c r="L313" s="480">
        <v>0</v>
      </c>
      <c r="M313" s="373">
        <f t="shared" si="102"/>
        <v>344549.52</v>
      </c>
      <c r="N313" s="322"/>
      <c r="O313" s="322"/>
      <c r="P313" s="322">
        <v>344549.52</v>
      </c>
      <c r="Q313" s="322"/>
      <c r="R313" s="322"/>
      <c r="S313" s="322">
        <f t="shared" si="103"/>
        <v>344549.52</v>
      </c>
      <c r="T313" s="307"/>
      <c r="U313" s="307"/>
      <c r="V313" s="322">
        <f t="shared" si="104"/>
        <v>0</v>
      </c>
      <c r="W313" s="307"/>
      <c r="X313" s="307"/>
      <c r="Y313" s="307"/>
      <c r="Z313" s="307"/>
      <c r="AA313" s="307"/>
      <c r="AB313" s="307"/>
      <c r="AC313" s="307"/>
      <c r="AD313" s="307"/>
      <c r="AE313" s="307"/>
      <c r="AP313" s="666"/>
    </row>
    <row r="314" spans="2:42" ht="135" hidden="1">
      <c r="B314" s="172" t="s">
        <v>1098</v>
      </c>
      <c r="C314" s="682" t="s">
        <v>1431</v>
      </c>
      <c r="D314" s="171" t="s">
        <v>1188</v>
      </c>
      <c r="E314" s="276"/>
      <c r="F314" s="270"/>
      <c r="G314" s="533"/>
      <c r="H314" s="480">
        <v>0</v>
      </c>
      <c r="I314" s="269">
        <v>0</v>
      </c>
      <c r="J314" s="59">
        <v>307884.59999999998</v>
      </c>
      <c r="K314" s="480">
        <v>0</v>
      </c>
      <c r="L314" s="480">
        <v>0</v>
      </c>
      <c r="M314" s="373">
        <f t="shared" si="102"/>
        <v>307884.59999999998</v>
      </c>
      <c r="N314" s="322"/>
      <c r="O314" s="322"/>
      <c r="P314" s="322">
        <v>307884.59999999998</v>
      </c>
      <c r="Q314" s="322"/>
      <c r="R314" s="322"/>
      <c r="S314" s="322">
        <f t="shared" si="103"/>
        <v>307884.59999999998</v>
      </c>
      <c r="T314" s="307"/>
      <c r="U314" s="307"/>
      <c r="V314" s="322">
        <f t="shared" si="104"/>
        <v>0</v>
      </c>
      <c r="W314" s="307"/>
      <c r="X314" s="307"/>
      <c r="Y314" s="307"/>
      <c r="Z314" s="307"/>
      <c r="AA314" s="307"/>
      <c r="AB314" s="307"/>
      <c r="AC314" s="307"/>
      <c r="AD314" s="307"/>
      <c r="AE314" s="307"/>
      <c r="AP314" s="666"/>
    </row>
    <row r="315" spans="2:42" ht="42.75" hidden="1">
      <c r="B315" s="172" t="s">
        <v>1099</v>
      </c>
      <c r="C315" s="682" t="s">
        <v>1432</v>
      </c>
      <c r="D315" s="601" t="s">
        <v>1189</v>
      </c>
      <c r="E315" s="276"/>
      <c r="F315" s="270"/>
      <c r="G315" s="533"/>
      <c r="H315" s="480">
        <v>0</v>
      </c>
      <c r="I315" s="269">
        <v>0</v>
      </c>
      <c r="J315" s="59">
        <v>116537.63</v>
      </c>
      <c r="K315" s="480">
        <v>0</v>
      </c>
      <c r="L315" s="480">
        <v>0</v>
      </c>
      <c r="M315" s="373">
        <f t="shared" si="102"/>
        <v>116537.63</v>
      </c>
      <c r="N315" s="322"/>
      <c r="O315" s="322"/>
      <c r="P315" s="322">
        <v>116537.63</v>
      </c>
      <c r="Q315" s="322"/>
      <c r="R315" s="322"/>
      <c r="S315" s="322">
        <f t="shared" si="103"/>
        <v>116537.63</v>
      </c>
      <c r="T315" s="307"/>
      <c r="U315" s="307"/>
      <c r="V315" s="322">
        <f t="shared" si="104"/>
        <v>0</v>
      </c>
      <c r="W315" s="307"/>
      <c r="X315" s="307"/>
      <c r="Y315" s="307"/>
      <c r="Z315" s="307"/>
      <c r="AA315" s="307"/>
      <c r="AB315" s="307"/>
      <c r="AC315" s="307"/>
      <c r="AD315" s="307"/>
      <c r="AE315" s="307"/>
      <c r="AP315" s="666"/>
    </row>
    <row r="316" spans="2:42" ht="42.75" hidden="1">
      <c r="B316" s="172" t="s">
        <v>1100</v>
      </c>
      <c r="C316" s="682" t="s">
        <v>1433</v>
      </c>
      <c r="D316" s="601" t="s">
        <v>1190</v>
      </c>
      <c r="E316" s="276"/>
      <c r="F316" s="270"/>
      <c r="G316" s="533"/>
      <c r="H316" s="480">
        <v>0</v>
      </c>
      <c r="I316" s="269">
        <v>0</v>
      </c>
      <c r="J316" s="59">
        <v>194459.67</v>
      </c>
      <c r="K316" s="480">
        <v>0</v>
      </c>
      <c r="L316" s="480">
        <v>0</v>
      </c>
      <c r="M316" s="373">
        <f t="shared" si="102"/>
        <v>194459.67</v>
      </c>
      <c r="N316" s="322"/>
      <c r="O316" s="322"/>
      <c r="P316" s="322">
        <v>194459.67</v>
      </c>
      <c r="Q316" s="322"/>
      <c r="R316" s="322"/>
      <c r="S316" s="322">
        <f t="shared" si="103"/>
        <v>194459.67</v>
      </c>
      <c r="T316" s="307"/>
      <c r="U316" s="307"/>
      <c r="V316" s="322">
        <f t="shared" si="104"/>
        <v>0</v>
      </c>
      <c r="W316" s="307"/>
      <c r="X316" s="307"/>
      <c r="Y316" s="307"/>
      <c r="Z316" s="307"/>
      <c r="AA316" s="307"/>
      <c r="AB316" s="307"/>
      <c r="AC316" s="307"/>
      <c r="AD316" s="307"/>
      <c r="AE316" s="307"/>
      <c r="AP316" s="666"/>
    </row>
    <row r="317" spans="2:42" ht="71.25" hidden="1">
      <c r="B317" s="492">
        <v>1.1399999999999999</v>
      </c>
      <c r="C317" s="682" t="s">
        <v>1434</v>
      </c>
      <c r="D317" s="601" t="s">
        <v>1191</v>
      </c>
      <c r="E317" s="276"/>
      <c r="F317" s="270"/>
      <c r="G317" s="533"/>
      <c r="H317" s="480">
        <v>0</v>
      </c>
      <c r="I317" s="269">
        <v>0</v>
      </c>
      <c r="J317" s="59">
        <v>63290.26</v>
      </c>
      <c r="K317" s="480">
        <v>0</v>
      </c>
      <c r="L317" s="480">
        <v>0</v>
      </c>
      <c r="M317" s="373">
        <f t="shared" si="102"/>
        <v>63290.26</v>
      </c>
      <c r="N317" s="322"/>
      <c r="O317" s="322"/>
      <c r="P317" s="322">
        <v>63290.26</v>
      </c>
      <c r="Q317" s="322"/>
      <c r="R317" s="322"/>
      <c r="S317" s="322">
        <f t="shared" si="103"/>
        <v>63290.26</v>
      </c>
      <c r="T317" s="307"/>
      <c r="U317" s="307"/>
      <c r="V317" s="322">
        <f t="shared" si="104"/>
        <v>0</v>
      </c>
      <c r="W317" s="307"/>
      <c r="X317" s="307"/>
      <c r="Y317" s="307"/>
      <c r="Z317" s="307"/>
      <c r="AA317" s="307"/>
      <c r="AB317" s="307"/>
      <c r="AC317" s="307"/>
      <c r="AD317" s="307"/>
      <c r="AE317" s="307"/>
      <c r="AP317" s="666"/>
    </row>
    <row r="318" spans="2:42" ht="30" hidden="1">
      <c r="B318" s="492">
        <v>1.1499999999999999</v>
      </c>
      <c r="C318" s="682" t="s">
        <v>1435</v>
      </c>
      <c r="D318" s="171" t="s">
        <v>272</v>
      </c>
      <c r="E318" s="276"/>
      <c r="F318" s="270"/>
      <c r="G318" s="533"/>
      <c r="H318" s="480">
        <v>0</v>
      </c>
      <c r="I318" s="269">
        <v>0</v>
      </c>
      <c r="J318" s="59">
        <v>285699.48</v>
      </c>
      <c r="K318" s="480">
        <v>0</v>
      </c>
      <c r="L318" s="480">
        <v>0</v>
      </c>
      <c r="M318" s="373">
        <f t="shared" si="102"/>
        <v>285699.48</v>
      </c>
      <c r="N318" s="322"/>
      <c r="O318" s="322"/>
      <c r="P318" s="322"/>
      <c r="Q318" s="322"/>
      <c r="R318" s="322"/>
      <c r="S318" s="322">
        <f t="shared" si="103"/>
        <v>0</v>
      </c>
      <c r="T318" s="307"/>
      <c r="U318" s="307"/>
      <c r="V318" s="322">
        <f t="shared" si="104"/>
        <v>285699.48</v>
      </c>
      <c r="W318" s="307"/>
      <c r="X318" s="307"/>
      <c r="Y318" s="307"/>
      <c r="Z318" s="307"/>
      <c r="AA318" s="307"/>
      <c r="AB318" s="307"/>
      <c r="AC318" s="307"/>
      <c r="AD318" s="307"/>
      <c r="AE318" s="307"/>
      <c r="AP318" s="666"/>
    </row>
    <row r="319" spans="2:42" ht="42.75" hidden="1">
      <c r="B319" s="492">
        <v>1.1599999999999999</v>
      </c>
      <c r="C319" s="682" t="s">
        <v>1436</v>
      </c>
      <c r="D319" s="601" t="s">
        <v>1192</v>
      </c>
      <c r="E319" s="276"/>
      <c r="F319" s="270"/>
      <c r="G319" s="533"/>
      <c r="H319" s="480">
        <v>0</v>
      </c>
      <c r="I319" s="269">
        <v>0</v>
      </c>
      <c r="J319" s="59">
        <v>259196.22</v>
      </c>
      <c r="K319" s="480">
        <v>0</v>
      </c>
      <c r="L319" s="480">
        <v>0</v>
      </c>
      <c r="M319" s="373">
        <f t="shared" si="102"/>
        <v>259196.22</v>
      </c>
      <c r="N319" s="322"/>
      <c r="O319" s="322"/>
      <c r="P319" s="322">
        <v>259196.22</v>
      </c>
      <c r="Q319" s="322"/>
      <c r="R319" s="322"/>
      <c r="S319" s="322">
        <f t="shared" si="103"/>
        <v>259196.22</v>
      </c>
      <c r="T319" s="307"/>
      <c r="U319" s="307"/>
      <c r="V319" s="322">
        <f t="shared" si="104"/>
        <v>0</v>
      </c>
      <c r="W319" s="307"/>
      <c r="X319" s="307"/>
      <c r="Y319" s="307"/>
      <c r="Z319" s="307"/>
      <c r="AA319" s="307"/>
      <c r="AB319" s="307"/>
      <c r="AC319" s="307"/>
      <c r="AD319" s="307"/>
      <c r="AE319" s="307"/>
      <c r="AP319" s="666"/>
    </row>
    <row r="320" spans="2:42" ht="42.75" hidden="1">
      <c r="B320" s="492">
        <v>1.17</v>
      </c>
      <c r="C320" s="682" t="s">
        <v>1241</v>
      </c>
      <c r="D320" s="601" t="s">
        <v>1193</v>
      </c>
      <c r="E320" s="276"/>
      <c r="F320" s="270"/>
      <c r="G320" s="533"/>
      <c r="H320" s="480">
        <v>0</v>
      </c>
      <c r="I320" s="480">
        <v>0</v>
      </c>
      <c r="J320" s="155">
        <v>19619.509999999995</v>
      </c>
      <c r="K320" s="480">
        <v>0</v>
      </c>
      <c r="L320" s="480">
        <v>0</v>
      </c>
      <c r="M320" s="373">
        <f t="shared" si="102"/>
        <v>19619.509999999995</v>
      </c>
      <c r="N320" s="322"/>
      <c r="O320" s="322"/>
      <c r="P320" s="322">
        <v>19619.509999999998</v>
      </c>
      <c r="Q320" s="322"/>
      <c r="R320" s="322"/>
      <c r="S320" s="322">
        <f t="shared" si="103"/>
        <v>19619.509999999998</v>
      </c>
      <c r="T320" s="307"/>
      <c r="U320" s="307"/>
      <c r="V320" s="322">
        <f t="shared" si="104"/>
        <v>0</v>
      </c>
      <c r="W320" s="307"/>
      <c r="X320" s="307"/>
      <c r="Y320" s="307"/>
      <c r="Z320" s="307"/>
      <c r="AA320" s="307"/>
      <c r="AB320" s="307"/>
      <c r="AC320" s="307"/>
      <c r="AD320" s="307"/>
      <c r="AE320" s="307"/>
      <c r="AP320" s="666"/>
    </row>
    <row r="321" spans="2:42" ht="57" hidden="1">
      <c r="B321" s="492">
        <v>1.18</v>
      </c>
      <c r="C321" s="682" t="s">
        <v>1242</v>
      </c>
      <c r="D321" s="601" t="s">
        <v>1194</v>
      </c>
      <c r="E321" s="276"/>
      <c r="F321" s="270"/>
      <c r="G321" s="533"/>
      <c r="H321" s="480">
        <v>0</v>
      </c>
      <c r="I321" s="480">
        <v>0</v>
      </c>
      <c r="J321" s="155">
        <v>42527.16</v>
      </c>
      <c r="K321" s="480">
        <v>0</v>
      </c>
      <c r="L321" s="480">
        <v>0</v>
      </c>
      <c r="M321" s="373">
        <f t="shared" si="102"/>
        <v>42527.16</v>
      </c>
      <c r="N321" s="322"/>
      <c r="O321" s="322"/>
      <c r="P321" s="322">
        <v>31887.82</v>
      </c>
      <c r="Q321" s="322"/>
      <c r="R321" s="322"/>
      <c r="S321" s="322">
        <f t="shared" si="103"/>
        <v>31887.82</v>
      </c>
      <c r="T321" s="307"/>
      <c r="U321" s="307"/>
      <c r="V321" s="322">
        <f t="shared" si="104"/>
        <v>10639.340000000004</v>
      </c>
      <c r="W321" s="307"/>
      <c r="X321" s="307"/>
      <c r="Y321" s="307"/>
      <c r="Z321" s="307"/>
      <c r="AA321" s="307"/>
      <c r="AB321" s="307"/>
      <c r="AC321" s="307"/>
      <c r="AD321" s="307"/>
      <c r="AE321" s="307"/>
      <c r="AP321" s="666"/>
    </row>
    <row r="322" spans="2:42" ht="41.45" hidden="1" customHeight="1">
      <c r="B322" s="492">
        <v>1.19</v>
      </c>
      <c r="C322" s="682" t="s">
        <v>1244</v>
      </c>
      <c r="D322" s="601" t="s">
        <v>1195</v>
      </c>
      <c r="E322" s="276"/>
      <c r="F322" s="270"/>
      <c r="G322" s="533"/>
      <c r="H322" s="480">
        <v>0</v>
      </c>
      <c r="I322" s="269">
        <v>0</v>
      </c>
      <c r="J322" s="59">
        <v>18139.87</v>
      </c>
      <c r="K322" s="480">
        <v>0</v>
      </c>
      <c r="L322" s="480">
        <v>0</v>
      </c>
      <c r="M322" s="373">
        <f t="shared" si="102"/>
        <v>18139.87</v>
      </c>
      <c r="N322" s="322"/>
      <c r="O322" s="322"/>
      <c r="P322" s="322"/>
      <c r="Q322" s="322"/>
      <c r="R322" s="322"/>
      <c r="S322" s="322">
        <f t="shared" si="103"/>
        <v>0</v>
      </c>
      <c r="T322" s="307"/>
      <c r="U322" s="307"/>
      <c r="V322" s="322">
        <f t="shared" si="104"/>
        <v>18139.87</v>
      </c>
      <c r="W322" s="307"/>
      <c r="X322" s="307"/>
      <c r="Y322" s="307"/>
      <c r="Z322" s="307"/>
      <c r="AA322" s="307"/>
      <c r="AB322" s="307"/>
      <c r="AC322" s="307"/>
      <c r="AD322" s="307"/>
      <c r="AE322" s="307"/>
      <c r="AP322" s="666"/>
    </row>
    <row r="323" spans="2:42" ht="28.5" hidden="1">
      <c r="B323" s="348" t="s">
        <v>789</v>
      </c>
      <c r="C323" s="682" t="s">
        <v>1245</v>
      </c>
      <c r="D323" s="601" t="s">
        <v>1196</v>
      </c>
      <c r="E323" s="276"/>
      <c r="F323" s="270"/>
      <c r="G323" s="533"/>
      <c r="H323" s="480">
        <v>0</v>
      </c>
      <c r="I323" s="269">
        <v>0</v>
      </c>
      <c r="J323" s="59">
        <v>22130.47</v>
      </c>
      <c r="K323" s="480">
        <v>0</v>
      </c>
      <c r="L323" s="480">
        <v>0</v>
      </c>
      <c r="M323" s="373">
        <f t="shared" si="102"/>
        <v>22130.47</v>
      </c>
      <c r="N323" s="322"/>
      <c r="O323" s="322"/>
      <c r="P323" s="322">
        <v>22130.47</v>
      </c>
      <c r="Q323" s="322"/>
      <c r="R323" s="322"/>
      <c r="S323" s="322">
        <f t="shared" si="103"/>
        <v>22130.47</v>
      </c>
      <c r="T323" s="307"/>
      <c r="U323" s="307"/>
      <c r="V323" s="322">
        <f t="shared" si="104"/>
        <v>0</v>
      </c>
      <c r="W323" s="307"/>
      <c r="X323" s="307"/>
      <c r="Y323" s="307"/>
      <c r="Z323" s="307"/>
      <c r="AA323" s="307"/>
      <c r="AB323" s="307"/>
      <c r="AC323" s="307"/>
      <c r="AD323" s="307"/>
      <c r="AE323" s="307"/>
      <c r="AP323" s="666"/>
    </row>
    <row r="324" spans="2:42" ht="114" hidden="1">
      <c r="B324" s="193">
        <v>1.21</v>
      </c>
      <c r="C324" s="682" t="s">
        <v>1437</v>
      </c>
      <c r="D324" s="601" t="s">
        <v>1197</v>
      </c>
      <c r="E324" s="276"/>
      <c r="F324" s="270"/>
      <c r="G324" s="533"/>
      <c r="H324" s="480">
        <v>0</v>
      </c>
      <c r="I324" s="269">
        <v>0</v>
      </c>
      <c r="J324" s="59">
        <v>171353.91</v>
      </c>
      <c r="K324" s="480">
        <v>0</v>
      </c>
      <c r="L324" s="480">
        <v>0</v>
      </c>
      <c r="M324" s="373">
        <f t="shared" si="102"/>
        <v>171353.91</v>
      </c>
      <c r="N324" s="322"/>
      <c r="O324" s="322"/>
      <c r="P324" s="322">
        <v>121691.85</v>
      </c>
      <c r="Q324" s="322"/>
      <c r="R324" s="322"/>
      <c r="S324" s="322">
        <f t="shared" si="103"/>
        <v>121691.85</v>
      </c>
      <c r="T324" s="307"/>
      <c r="U324" s="307"/>
      <c r="V324" s="322">
        <f t="shared" si="104"/>
        <v>49662.06</v>
      </c>
      <c r="W324" s="307"/>
      <c r="X324" s="307"/>
      <c r="Y324" s="307"/>
      <c r="Z324" s="307"/>
      <c r="AA324" s="307"/>
      <c r="AB324" s="307"/>
      <c r="AC324" s="307"/>
      <c r="AD324" s="307"/>
      <c r="AE324" s="307"/>
      <c r="AP324" s="666"/>
    </row>
    <row r="325" spans="2:42" ht="57" hidden="1">
      <c r="B325" s="193">
        <v>1.22</v>
      </c>
      <c r="C325" s="682" t="s">
        <v>1438</v>
      </c>
      <c r="D325" s="601" t="s">
        <v>1198</v>
      </c>
      <c r="E325" s="276"/>
      <c r="F325" s="270"/>
      <c r="G325" s="533"/>
      <c r="H325" s="480">
        <v>0</v>
      </c>
      <c r="I325" s="269">
        <v>0</v>
      </c>
      <c r="J325" s="59">
        <v>26780.11</v>
      </c>
      <c r="K325" s="480">
        <v>0</v>
      </c>
      <c r="L325" s="480">
        <v>0</v>
      </c>
      <c r="M325" s="373">
        <f t="shared" si="102"/>
        <v>26780.11</v>
      </c>
      <c r="N325" s="322"/>
      <c r="O325" s="322"/>
      <c r="P325" s="322">
        <v>26780.11</v>
      </c>
      <c r="Q325" s="322"/>
      <c r="R325" s="322"/>
      <c r="S325" s="322">
        <f t="shared" si="103"/>
        <v>26780.11</v>
      </c>
      <c r="T325" s="307"/>
      <c r="U325" s="307"/>
      <c r="V325" s="322">
        <f t="shared" si="104"/>
        <v>0</v>
      </c>
      <c r="W325" s="307"/>
      <c r="X325" s="307"/>
      <c r="Y325" s="307"/>
      <c r="Z325" s="307"/>
      <c r="AA325" s="307"/>
      <c r="AB325" s="307"/>
      <c r="AC325" s="307"/>
      <c r="AD325" s="307"/>
      <c r="AE325" s="307"/>
      <c r="AP325" s="666"/>
    </row>
    <row r="326" spans="2:42" ht="185.25" hidden="1">
      <c r="B326" s="193">
        <v>1.23</v>
      </c>
      <c r="C326" s="682" t="s">
        <v>1247</v>
      </c>
      <c r="D326" s="601" t="s">
        <v>1199</v>
      </c>
      <c r="E326" s="276"/>
      <c r="F326" s="270"/>
      <c r="G326" s="533"/>
      <c r="H326" s="480">
        <v>0</v>
      </c>
      <c r="I326" s="480">
        <v>0</v>
      </c>
      <c r="J326" s="155">
        <v>178283.35</v>
      </c>
      <c r="K326" s="480">
        <v>0</v>
      </c>
      <c r="L326" s="480">
        <v>0</v>
      </c>
      <c r="M326" s="373">
        <f t="shared" si="102"/>
        <v>178283.35</v>
      </c>
      <c r="N326" s="322"/>
      <c r="O326" s="322"/>
      <c r="P326" s="322">
        <v>130212.49</v>
      </c>
      <c r="Q326" s="322"/>
      <c r="R326" s="322"/>
      <c r="S326" s="322">
        <f t="shared" si="103"/>
        <v>130212.49</v>
      </c>
      <c r="T326" s="307"/>
      <c r="U326" s="307"/>
      <c r="V326" s="322">
        <f t="shared" si="104"/>
        <v>48070.86</v>
      </c>
      <c r="W326" s="307"/>
      <c r="X326" s="307"/>
      <c r="Y326" s="307"/>
      <c r="Z326" s="307"/>
      <c r="AA326" s="307"/>
      <c r="AB326" s="307"/>
      <c r="AC326" s="307"/>
      <c r="AD326" s="307"/>
      <c r="AE326" s="307"/>
      <c r="AP326" s="666"/>
    </row>
    <row r="327" spans="2:42" ht="234.6" hidden="1" customHeight="1">
      <c r="B327" s="193">
        <v>1.24</v>
      </c>
      <c r="C327" s="682" t="s">
        <v>1249</v>
      </c>
      <c r="D327" s="601" t="s">
        <v>1200</v>
      </c>
      <c r="E327" s="276"/>
      <c r="F327" s="270"/>
      <c r="G327" s="533"/>
      <c r="H327" s="480">
        <v>0</v>
      </c>
      <c r="I327" s="480">
        <v>0</v>
      </c>
      <c r="J327" s="155">
        <v>378385.9</v>
      </c>
      <c r="K327" s="480">
        <v>0</v>
      </c>
      <c r="L327" s="480">
        <v>0</v>
      </c>
      <c r="M327" s="373">
        <f t="shared" si="102"/>
        <v>378385.9</v>
      </c>
      <c r="N327" s="322"/>
      <c r="O327" s="322"/>
      <c r="P327" s="322">
        <v>304841.90999999997</v>
      </c>
      <c r="Q327" s="322"/>
      <c r="R327" s="322"/>
      <c r="S327" s="322">
        <f t="shared" si="103"/>
        <v>304841.90999999997</v>
      </c>
      <c r="T327" s="307"/>
      <c r="U327" s="307"/>
      <c r="V327" s="322">
        <f t="shared" si="104"/>
        <v>73543.990000000049</v>
      </c>
      <c r="W327" s="307"/>
      <c r="X327" s="307"/>
      <c r="Y327" s="307"/>
      <c r="Z327" s="307"/>
      <c r="AA327" s="307"/>
      <c r="AB327" s="307"/>
      <c r="AC327" s="307"/>
      <c r="AD327" s="307"/>
      <c r="AE327" s="307"/>
      <c r="AP327" s="666"/>
    </row>
    <row r="328" spans="2:42" ht="118.9" hidden="1" customHeight="1">
      <c r="B328" s="193">
        <v>1.25</v>
      </c>
      <c r="C328" s="682" t="s">
        <v>1250</v>
      </c>
      <c r="D328" s="602" t="s">
        <v>1201</v>
      </c>
      <c r="E328" s="276"/>
      <c r="F328" s="270"/>
      <c r="G328" s="533"/>
      <c r="H328" s="480">
        <v>0</v>
      </c>
      <c r="I328" s="269">
        <v>0</v>
      </c>
      <c r="J328" s="59">
        <v>236659.50999999998</v>
      </c>
      <c r="K328" s="480">
        <v>0</v>
      </c>
      <c r="L328" s="480">
        <v>0</v>
      </c>
      <c r="M328" s="373">
        <f t="shared" si="102"/>
        <v>236659.50999999998</v>
      </c>
      <c r="N328" s="322"/>
      <c r="O328" s="322"/>
      <c r="P328" s="322">
        <v>189069.86</v>
      </c>
      <c r="Q328" s="322"/>
      <c r="R328" s="322"/>
      <c r="S328" s="322">
        <f t="shared" si="103"/>
        <v>189069.86</v>
      </c>
      <c r="T328" s="307"/>
      <c r="U328" s="307"/>
      <c r="V328" s="322">
        <f t="shared" si="104"/>
        <v>47589.649999999994</v>
      </c>
      <c r="W328" s="307"/>
      <c r="X328" s="307"/>
      <c r="Y328" s="307"/>
      <c r="Z328" s="307"/>
      <c r="AA328" s="307"/>
      <c r="AB328" s="307"/>
      <c r="AC328" s="307"/>
      <c r="AD328" s="307"/>
      <c r="AE328" s="307"/>
      <c r="AP328" s="666"/>
    </row>
    <row r="329" spans="2:42" ht="242.25" hidden="1">
      <c r="B329" s="193">
        <v>1.26</v>
      </c>
      <c r="C329" s="682" t="s">
        <v>1251</v>
      </c>
      <c r="D329" s="602" t="s">
        <v>1202</v>
      </c>
      <c r="E329" s="276"/>
      <c r="F329" s="270"/>
      <c r="G329" s="533"/>
      <c r="H329" s="480">
        <v>0</v>
      </c>
      <c r="I329" s="269">
        <v>0</v>
      </c>
      <c r="J329" s="59">
        <v>518229.14999999997</v>
      </c>
      <c r="K329" s="480">
        <v>0</v>
      </c>
      <c r="L329" s="480">
        <v>0</v>
      </c>
      <c r="M329" s="373">
        <f t="shared" si="102"/>
        <v>518229.14999999997</v>
      </c>
      <c r="N329" s="322"/>
      <c r="O329" s="322"/>
      <c r="P329" s="322">
        <v>455191.46</v>
      </c>
      <c r="Q329" s="322"/>
      <c r="R329" s="322"/>
      <c r="S329" s="322">
        <f t="shared" si="103"/>
        <v>455191.46</v>
      </c>
      <c r="T329" s="307"/>
      <c r="U329" s="307"/>
      <c r="V329" s="322">
        <f t="shared" si="104"/>
        <v>63037.689999999944</v>
      </c>
      <c r="W329" s="307"/>
      <c r="X329" s="307"/>
      <c r="Y329" s="307"/>
      <c r="Z329" s="307"/>
      <c r="AA329" s="307"/>
      <c r="AB329" s="307"/>
      <c r="AC329" s="307"/>
      <c r="AD329" s="307"/>
      <c r="AE329" s="307"/>
      <c r="AP329" s="666"/>
    </row>
    <row r="330" spans="2:42" ht="42.75" hidden="1">
      <c r="B330" s="193">
        <v>1.27</v>
      </c>
      <c r="C330" s="682" t="s">
        <v>1252</v>
      </c>
      <c r="D330" s="601" t="s">
        <v>1203</v>
      </c>
      <c r="E330" s="276"/>
      <c r="F330" s="270"/>
      <c r="G330" s="533"/>
      <c r="H330" s="480">
        <v>0</v>
      </c>
      <c r="I330" s="480">
        <v>0</v>
      </c>
      <c r="J330" s="155">
        <v>82767.23000000001</v>
      </c>
      <c r="K330" s="480">
        <v>0</v>
      </c>
      <c r="L330" s="480">
        <v>0</v>
      </c>
      <c r="M330" s="373">
        <f t="shared" si="102"/>
        <v>82767.23000000001</v>
      </c>
      <c r="N330" s="322"/>
      <c r="O330" s="322"/>
      <c r="P330" s="322">
        <v>63946.86</v>
      </c>
      <c r="Q330" s="322"/>
      <c r="R330" s="322"/>
      <c r="S330" s="322">
        <f t="shared" si="103"/>
        <v>63946.86</v>
      </c>
      <c r="T330" s="307"/>
      <c r="U330" s="307"/>
      <c r="V330" s="322">
        <f t="shared" si="104"/>
        <v>18820.37000000001</v>
      </c>
      <c r="W330" s="307"/>
      <c r="X330" s="307"/>
      <c r="Y330" s="307"/>
      <c r="Z330" s="307"/>
      <c r="AA330" s="307"/>
      <c r="AB330" s="307"/>
      <c r="AC330" s="307"/>
      <c r="AD330" s="307"/>
      <c r="AE330" s="307"/>
      <c r="AP330" s="666"/>
    </row>
    <row r="331" spans="2:42" ht="28.5" hidden="1">
      <c r="B331" s="193">
        <v>1.28</v>
      </c>
      <c r="C331" s="682" t="s">
        <v>1439</v>
      </c>
      <c r="D331" s="601" t="s">
        <v>1204</v>
      </c>
      <c r="E331" s="276"/>
      <c r="F331" s="270"/>
      <c r="G331" s="533"/>
      <c r="H331" s="480">
        <v>0</v>
      </c>
      <c r="I331" s="480">
        <v>0</v>
      </c>
      <c r="J331" s="155">
        <v>208447.31</v>
      </c>
      <c r="K331" s="480">
        <v>0</v>
      </c>
      <c r="L331" s="480">
        <v>0</v>
      </c>
      <c r="M331" s="373">
        <f t="shared" si="102"/>
        <v>208447.31</v>
      </c>
      <c r="N331" s="322"/>
      <c r="O331" s="322"/>
      <c r="P331" s="322">
        <v>187398.61</v>
      </c>
      <c r="Q331" s="322"/>
      <c r="R331" s="322"/>
      <c r="S331" s="322">
        <f t="shared" si="103"/>
        <v>187398.61</v>
      </c>
      <c r="T331" s="307"/>
      <c r="U331" s="307"/>
      <c r="V331" s="322">
        <f t="shared" si="104"/>
        <v>21048.700000000012</v>
      </c>
      <c r="W331" s="307"/>
      <c r="X331" s="307"/>
      <c r="Y331" s="307"/>
      <c r="Z331" s="307"/>
      <c r="AA331" s="307"/>
      <c r="AB331" s="307"/>
      <c r="AC331" s="307"/>
      <c r="AD331" s="307"/>
      <c r="AE331" s="307"/>
      <c r="AP331" s="666"/>
    </row>
    <row r="332" spans="2:42" ht="71.25" hidden="1">
      <c r="B332" s="193">
        <v>1.29</v>
      </c>
      <c r="C332" s="682" t="s">
        <v>1440</v>
      </c>
      <c r="D332" s="601" t="s">
        <v>1205</v>
      </c>
      <c r="E332" s="276"/>
      <c r="F332" s="270"/>
      <c r="G332" s="533"/>
      <c r="H332" s="480">
        <v>0</v>
      </c>
      <c r="I332" s="269">
        <v>0</v>
      </c>
      <c r="J332" s="59">
        <v>38616.449999999997</v>
      </c>
      <c r="K332" s="480">
        <v>0</v>
      </c>
      <c r="L332" s="480">
        <v>0</v>
      </c>
      <c r="M332" s="373">
        <f t="shared" si="102"/>
        <v>38616.449999999997</v>
      </c>
      <c r="N332" s="322"/>
      <c r="O332" s="322"/>
      <c r="P332" s="322"/>
      <c r="Q332" s="322"/>
      <c r="R332" s="322"/>
      <c r="S332" s="322">
        <f t="shared" si="103"/>
        <v>0</v>
      </c>
      <c r="T332" s="307"/>
      <c r="U332" s="307"/>
      <c r="V332" s="322">
        <f t="shared" si="104"/>
        <v>38616.449999999997</v>
      </c>
      <c r="W332" s="307"/>
      <c r="X332" s="307"/>
      <c r="Y332" s="307"/>
      <c r="Z332" s="307"/>
      <c r="AA332" s="307"/>
      <c r="AB332" s="307"/>
      <c r="AC332" s="307"/>
      <c r="AD332" s="307"/>
      <c r="AE332" s="307"/>
      <c r="AP332" s="666"/>
    </row>
    <row r="333" spans="2:42" ht="356.25" hidden="1">
      <c r="B333" s="348" t="s">
        <v>790</v>
      </c>
      <c r="C333" s="682" t="s">
        <v>1337</v>
      </c>
      <c r="D333" s="601" t="s">
        <v>1206</v>
      </c>
      <c r="E333" s="276"/>
      <c r="F333" s="270"/>
      <c r="G333" s="533"/>
      <c r="H333" s="480">
        <v>0</v>
      </c>
      <c r="I333" s="480">
        <v>0</v>
      </c>
      <c r="J333" s="155">
        <v>112296.71</v>
      </c>
      <c r="K333" s="480">
        <v>0</v>
      </c>
      <c r="L333" s="480">
        <v>0</v>
      </c>
      <c r="M333" s="373">
        <f t="shared" si="102"/>
        <v>112296.71</v>
      </c>
      <c r="N333" s="322"/>
      <c r="O333" s="322"/>
      <c r="P333" s="322"/>
      <c r="Q333" s="322"/>
      <c r="R333" s="322"/>
      <c r="S333" s="322">
        <f t="shared" si="103"/>
        <v>0</v>
      </c>
      <c r="T333" s="307"/>
      <c r="U333" s="307"/>
      <c r="V333" s="322">
        <f t="shared" si="104"/>
        <v>112296.71</v>
      </c>
      <c r="W333" s="307"/>
      <c r="X333" s="307"/>
      <c r="Y333" s="307"/>
      <c r="Z333" s="307"/>
      <c r="AA333" s="307"/>
      <c r="AB333" s="307"/>
      <c r="AC333" s="307"/>
      <c r="AD333" s="307"/>
      <c r="AE333" s="307"/>
      <c r="AP333" s="666"/>
    </row>
    <row r="334" spans="2:42" ht="318.75" hidden="1">
      <c r="B334" s="193">
        <v>1.31</v>
      </c>
      <c r="C334" s="682"/>
      <c r="D334" s="602" t="s">
        <v>1207</v>
      </c>
      <c r="E334" s="276"/>
      <c r="F334" s="270"/>
      <c r="G334" s="533"/>
      <c r="H334" s="480">
        <v>0</v>
      </c>
      <c r="I334" s="480">
        <v>0</v>
      </c>
      <c r="J334" s="155">
        <v>425975</v>
      </c>
      <c r="K334" s="480">
        <v>0</v>
      </c>
      <c r="L334" s="480">
        <v>0</v>
      </c>
      <c r="M334" s="373">
        <f t="shared" si="102"/>
        <v>425975</v>
      </c>
      <c r="N334" s="322"/>
      <c r="O334" s="322"/>
      <c r="P334" s="322"/>
      <c r="Q334" s="322"/>
      <c r="R334" s="322"/>
      <c r="S334" s="322">
        <f t="shared" si="103"/>
        <v>0</v>
      </c>
      <c r="T334" s="307"/>
      <c r="U334" s="307"/>
      <c r="V334" s="322">
        <f t="shared" si="104"/>
        <v>425975</v>
      </c>
      <c r="W334" s="307"/>
      <c r="X334" s="307"/>
      <c r="Y334" s="307"/>
      <c r="Z334" s="307"/>
      <c r="AA334" s="307"/>
      <c r="AB334" s="307"/>
      <c r="AC334" s="307"/>
      <c r="AD334" s="307"/>
      <c r="AE334" s="307"/>
      <c r="AP334" s="666"/>
    </row>
    <row r="335" spans="2:42" ht="234.6" hidden="1" customHeight="1">
      <c r="B335" s="193">
        <v>1.32</v>
      </c>
      <c r="C335" s="682" t="s">
        <v>1270</v>
      </c>
      <c r="D335" s="602" t="s">
        <v>1208</v>
      </c>
      <c r="E335" s="276"/>
      <c r="F335" s="270"/>
      <c r="G335" s="533"/>
      <c r="H335" s="480">
        <v>0</v>
      </c>
      <c r="I335" s="269">
        <v>0</v>
      </c>
      <c r="J335" s="59">
        <v>325897.06</v>
      </c>
      <c r="K335" s="480">
        <v>0</v>
      </c>
      <c r="L335" s="480">
        <v>0</v>
      </c>
      <c r="M335" s="373">
        <f t="shared" si="102"/>
        <v>325897.06</v>
      </c>
      <c r="N335" s="322"/>
      <c r="O335" s="322"/>
      <c r="P335" s="322"/>
      <c r="Q335" s="322"/>
      <c r="R335" s="322"/>
      <c r="S335" s="322">
        <f t="shared" si="103"/>
        <v>0</v>
      </c>
      <c r="T335" s="307"/>
      <c r="U335" s="307"/>
      <c r="V335" s="322">
        <f t="shared" si="104"/>
        <v>325897.06</v>
      </c>
      <c r="W335" s="307"/>
      <c r="X335" s="307"/>
      <c r="Y335" s="307"/>
      <c r="Z335" s="307"/>
      <c r="AA335" s="307"/>
      <c r="AB335" s="307"/>
      <c r="AC335" s="307"/>
      <c r="AD335" s="307"/>
      <c r="AE335" s="307"/>
      <c r="AP335" s="666"/>
    </row>
    <row r="336" spans="2:42" ht="42.75" hidden="1">
      <c r="B336" s="193">
        <v>1.33</v>
      </c>
      <c r="C336" s="682" t="s">
        <v>1441</v>
      </c>
      <c r="D336" s="601" t="s">
        <v>1209</v>
      </c>
      <c r="E336" s="276"/>
      <c r="F336" s="270"/>
      <c r="G336" s="533"/>
      <c r="H336" s="480">
        <v>0</v>
      </c>
      <c r="I336" s="480">
        <v>0</v>
      </c>
      <c r="J336" s="155">
        <v>218572.07</v>
      </c>
      <c r="K336" s="480">
        <v>0</v>
      </c>
      <c r="L336" s="480">
        <v>0</v>
      </c>
      <c r="M336" s="373">
        <f t="shared" si="102"/>
        <v>218572.07</v>
      </c>
      <c r="N336" s="322"/>
      <c r="O336" s="322"/>
      <c r="P336" s="322"/>
      <c r="Q336" s="322"/>
      <c r="R336" s="322"/>
      <c r="S336" s="322">
        <f t="shared" si="103"/>
        <v>0</v>
      </c>
      <c r="T336" s="307"/>
      <c r="U336" s="307"/>
      <c r="V336" s="322">
        <f t="shared" si="104"/>
        <v>218572.07</v>
      </c>
      <c r="W336" s="307"/>
      <c r="X336" s="307"/>
      <c r="Y336" s="307"/>
      <c r="Z336" s="307"/>
      <c r="AA336" s="307"/>
      <c r="AB336" s="307"/>
      <c r="AC336" s="307"/>
      <c r="AD336" s="307"/>
      <c r="AE336" s="307"/>
      <c r="AP336" s="666"/>
    </row>
    <row r="337" spans="2:42" ht="210" hidden="1" customHeight="1">
      <c r="B337" s="193">
        <v>1.34</v>
      </c>
      <c r="C337" s="682" t="s">
        <v>1442</v>
      </c>
      <c r="D337" s="601" t="s">
        <v>1210</v>
      </c>
      <c r="E337" s="276"/>
      <c r="F337" s="270"/>
      <c r="G337" s="533"/>
      <c r="H337" s="480">
        <v>0</v>
      </c>
      <c r="I337" s="480">
        <v>0</v>
      </c>
      <c r="J337" s="155">
        <v>715813.75</v>
      </c>
      <c r="K337" s="480">
        <v>0</v>
      </c>
      <c r="L337" s="480">
        <v>0</v>
      </c>
      <c r="M337" s="373">
        <f t="shared" si="102"/>
        <v>715813.75</v>
      </c>
      <c r="N337" s="322"/>
      <c r="O337" s="322"/>
      <c r="P337" s="322"/>
      <c r="Q337" s="322"/>
      <c r="R337" s="322"/>
      <c r="S337" s="322">
        <f t="shared" si="103"/>
        <v>0</v>
      </c>
      <c r="T337" s="307"/>
      <c r="U337" s="307"/>
      <c r="V337" s="322">
        <f t="shared" si="104"/>
        <v>715813.75</v>
      </c>
      <c r="W337" s="307"/>
      <c r="X337" s="307"/>
      <c r="Y337" s="307"/>
      <c r="Z337" s="307"/>
      <c r="AA337" s="307"/>
      <c r="AB337" s="307"/>
      <c r="AC337" s="307"/>
      <c r="AD337" s="307"/>
      <c r="AE337" s="307"/>
      <c r="AP337" s="666"/>
    </row>
    <row r="338" spans="2:42" ht="57" hidden="1">
      <c r="B338" s="193">
        <v>1.35</v>
      </c>
      <c r="C338" s="682" t="s">
        <v>1443</v>
      </c>
      <c r="D338" s="601" t="s">
        <v>1211</v>
      </c>
      <c r="E338" s="276"/>
      <c r="F338" s="270"/>
      <c r="G338" s="533"/>
      <c r="H338" s="480">
        <v>0</v>
      </c>
      <c r="I338" s="269">
        <v>0</v>
      </c>
      <c r="J338" s="59">
        <v>19374.419999999998</v>
      </c>
      <c r="K338" s="480">
        <v>0</v>
      </c>
      <c r="L338" s="480">
        <v>0</v>
      </c>
      <c r="M338" s="373">
        <f t="shared" si="102"/>
        <v>19374.419999999998</v>
      </c>
      <c r="N338" s="322"/>
      <c r="O338" s="322"/>
      <c r="P338" s="322">
        <v>26434.79</v>
      </c>
      <c r="Q338" s="322"/>
      <c r="R338" s="322"/>
      <c r="S338" s="322">
        <f t="shared" si="103"/>
        <v>26434.79</v>
      </c>
      <c r="T338" s="307"/>
      <c r="U338" s="307"/>
      <c r="V338" s="322">
        <f t="shared" si="104"/>
        <v>-7060.3700000000026</v>
      </c>
      <c r="W338" s="307"/>
      <c r="X338" s="307"/>
      <c r="Y338" s="307"/>
      <c r="Z338" s="307"/>
      <c r="AA338" s="307"/>
      <c r="AB338" s="307"/>
      <c r="AC338" s="307"/>
      <c r="AD338" s="307"/>
      <c r="AE338" s="307"/>
      <c r="AP338" s="666"/>
    </row>
    <row r="339" spans="2:42" ht="18.75">
      <c r="B339" s="180"/>
      <c r="C339" s="247"/>
      <c r="D339" s="171"/>
      <c r="E339" s="170"/>
      <c r="F339" s="270"/>
      <c r="G339" s="533"/>
      <c r="H339" s="480"/>
      <c r="I339" s="480"/>
      <c r="J339" s="155"/>
      <c r="K339" s="480"/>
      <c r="L339" s="480"/>
      <c r="M339" s="373">
        <f t="shared" si="101"/>
        <v>0</v>
      </c>
      <c r="N339" s="322"/>
      <c r="O339" s="322"/>
      <c r="P339" s="322"/>
      <c r="Q339" s="322"/>
      <c r="R339" s="322"/>
      <c r="S339" s="322">
        <f t="shared" si="103"/>
        <v>0</v>
      </c>
      <c r="T339" s="307"/>
      <c r="U339" s="307"/>
      <c r="V339" s="322">
        <f t="shared" si="104"/>
        <v>0</v>
      </c>
      <c r="W339" s="307"/>
      <c r="X339" s="307"/>
      <c r="Y339" s="307"/>
      <c r="Z339" s="307"/>
      <c r="AA339" s="307"/>
      <c r="AB339" s="307"/>
      <c r="AC339" s="307"/>
      <c r="AD339" s="307"/>
      <c r="AE339" s="307"/>
      <c r="AP339" s="666"/>
    </row>
    <row r="340" spans="2:42" ht="15.75" thickBot="1">
      <c r="B340" s="53"/>
      <c r="C340" s="62"/>
      <c r="D340" s="256" t="s">
        <v>6</v>
      </c>
      <c r="E340" s="62"/>
      <c r="F340" s="561"/>
      <c r="G340" s="754"/>
      <c r="H340" s="63">
        <f>SUM(H303:H339)</f>
        <v>0</v>
      </c>
      <c r="I340" s="63">
        <f t="shared" ref="I340:AE340" si="106">SUM(I303:I339)</f>
        <v>0</v>
      </c>
      <c r="J340" s="63">
        <f t="shared" si="106"/>
        <v>8000000</v>
      </c>
      <c r="K340" s="63">
        <f t="shared" si="106"/>
        <v>0</v>
      </c>
      <c r="L340" s="63">
        <f t="shared" si="106"/>
        <v>0</v>
      </c>
      <c r="M340" s="63">
        <f t="shared" si="106"/>
        <v>8000000</v>
      </c>
      <c r="N340" s="63">
        <f t="shared" si="106"/>
        <v>0</v>
      </c>
      <c r="O340" s="63">
        <f t="shared" si="106"/>
        <v>0</v>
      </c>
      <c r="P340" s="63">
        <f t="shared" si="106"/>
        <v>5117684.2400000012</v>
      </c>
      <c r="Q340" s="63">
        <f t="shared" si="106"/>
        <v>0</v>
      </c>
      <c r="R340" s="63">
        <f t="shared" si="106"/>
        <v>0</v>
      </c>
      <c r="S340" s="63">
        <f t="shared" si="106"/>
        <v>5117684.2400000012</v>
      </c>
      <c r="T340" s="63">
        <f t="shared" si="106"/>
        <v>0</v>
      </c>
      <c r="U340" s="63">
        <f t="shared" si="106"/>
        <v>0</v>
      </c>
      <c r="V340" s="63">
        <f t="shared" si="106"/>
        <v>2882315.76</v>
      </c>
      <c r="W340" s="63">
        <f t="shared" si="106"/>
        <v>0</v>
      </c>
      <c r="X340" s="63">
        <f t="shared" si="106"/>
        <v>0</v>
      </c>
      <c r="Y340" s="63">
        <f t="shared" si="106"/>
        <v>0</v>
      </c>
      <c r="Z340" s="63">
        <f t="shared" si="106"/>
        <v>0</v>
      </c>
      <c r="AA340" s="63">
        <f t="shared" si="106"/>
        <v>0</v>
      </c>
      <c r="AB340" s="63">
        <f t="shared" si="106"/>
        <v>0</v>
      </c>
      <c r="AC340" s="63">
        <f t="shared" si="106"/>
        <v>0</v>
      </c>
      <c r="AD340" s="63">
        <f t="shared" si="106"/>
        <v>0</v>
      </c>
      <c r="AE340" s="63">
        <f t="shared" si="106"/>
        <v>0</v>
      </c>
      <c r="AP340" s="666"/>
    </row>
    <row r="341" spans="2:42" ht="15.75">
      <c r="B341" s="227"/>
      <c r="C341" s="227"/>
      <c r="D341" s="228"/>
      <c r="E341" s="228"/>
      <c r="F341" s="228"/>
      <c r="G341" s="592"/>
      <c r="H341" s="229"/>
      <c r="I341" s="229"/>
      <c r="J341" s="229"/>
      <c r="K341" s="229"/>
      <c r="L341" s="229"/>
      <c r="M341" s="229"/>
      <c r="N341" s="230"/>
      <c r="O341" s="230"/>
      <c r="P341" s="230"/>
      <c r="Q341" s="230"/>
      <c r="R341" s="230"/>
      <c r="S341" s="230"/>
      <c r="T341" s="231"/>
      <c r="U341" s="231"/>
      <c r="V341" s="231"/>
      <c r="W341" s="231"/>
      <c r="X341" s="231"/>
      <c r="Y341" s="231"/>
      <c r="Z341" s="231"/>
      <c r="AA341" s="231"/>
      <c r="AB341" s="231"/>
      <c r="AC341" s="231"/>
      <c r="AD341" s="231"/>
      <c r="AE341" s="231"/>
      <c r="AP341" s="666"/>
    </row>
    <row r="342" spans="2:42" ht="15.75">
      <c r="B342" s="282"/>
      <c r="C342" s="294"/>
      <c r="D342" s="277" t="s">
        <v>6</v>
      </c>
      <c r="E342" s="295"/>
      <c r="F342" s="296"/>
      <c r="G342" s="755"/>
      <c r="H342" s="374">
        <f t="shared" ref="H342:M342" si="107">+H13+H22+H29+H63+H71+H78+H105+H116+H134+H177+H249+H266+H302</f>
        <v>78125582.939999998</v>
      </c>
      <c r="I342" s="374">
        <f t="shared" si="107"/>
        <v>64627293.579999991</v>
      </c>
      <c r="J342" s="374">
        <f t="shared" si="107"/>
        <v>100793499.94</v>
      </c>
      <c r="K342" s="374">
        <f t="shared" si="107"/>
        <v>150837583.58000001</v>
      </c>
      <c r="L342" s="374">
        <f t="shared" si="107"/>
        <v>44855258.620000005</v>
      </c>
      <c r="M342" s="375">
        <f t="shared" si="107"/>
        <v>439239218.66000003</v>
      </c>
      <c r="N342" s="182"/>
      <c r="O342" s="472"/>
      <c r="P342" s="230"/>
      <c r="Q342" s="230"/>
      <c r="R342" s="230"/>
      <c r="S342" s="230"/>
      <c r="T342" s="231"/>
      <c r="U342" s="231"/>
      <c r="V342" s="231"/>
      <c r="W342" s="231"/>
      <c r="X342" s="231"/>
      <c r="Y342" s="231"/>
      <c r="Z342" s="231"/>
      <c r="AA342" s="231"/>
      <c r="AB342" s="231"/>
      <c r="AC342" s="231"/>
      <c r="AD342" s="231"/>
      <c r="AE342" s="231"/>
      <c r="AP342" s="666"/>
    </row>
    <row r="343" spans="2:42" ht="15.75">
      <c r="B343" s="283"/>
      <c r="C343" s="293"/>
      <c r="D343" s="280" t="s">
        <v>36</v>
      </c>
      <c r="E343" s="278"/>
      <c r="F343" s="279"/>
      <c r="G343" s="593"/>
      <c r="H343" s="524">
        <f>76320561.71+1188528.45+0.78+616492</f>
        <v>78125582.939999998</v>
      </c>
      <c r="I343" s="524">
        <f>63650271+1628368-417351.68</f>
        <v>64861287.32</v>
      </c>
      <c r="J343" s="524">
        <f>17305000+1200000+3800000+1171632-500000+300000+2000000+500000+500000+3000000+3110292.94+643040</f>
        <v>33029964.940000001</v>
      </c>
      <c r="K343" s="525">
        <f>147087583.58+250000+3500000</f>
        <v>150837583.58000001</v>
      </c>
      <c r="L343" s="525">
        <v>44855258.619999997</v>
      </c>
      <c r="M343" s="526">
        <f>SUM(H343:L343)</f>
        <v>371709677.39999998</v>
      </c>
      <c r="N343" s="182"/>
      <c r="O343" s="472"/>
      <c r="P343" s="230"/>
      <c r="Q343" s="230"/>
      <c r="R343" s="230"/>
      <c r="S343" s="230"/>
      <c r="T343" s="231"/>
      <c r="U343" s="231"/>
      <c r="V343" s="231"/>
      <c r="W343" s="231"/>
      <c r="X343" s="231"/>
      <c r="Y343" s="231"/>
      <c r="Z343" s="231"/>
      <c r="AA343" s="231"/>
      <c r="AB343" s="231"/>
      <c r="AC343" s="231"/>
      <c r="AD343" s="231"/>
      <c r="AE343" s="231"/>
      <c r="AF343" s="182"/>
      <c r="AP343" s="666"/>
    </row>
    <row r="344" spans="2:42" ht="31.5">
      <c r="B344" s="284"/>
      <c r="C344" s="297"/>
      <c r="D344" s="281" t="s">
        <v>37</v>
      </c>
      <c r="E344" s="298"/>
      <c r="F344" s="299"/>
      <c r="G344" s="756"/>
      <c r="H344" s="299">
        <f>+H342-H343</f>
        <v>0</v>
      </c>
      <c r="I344" s="299">
        <f t="shared" ref="I344:L344" si="108">+I342-I343</f>
        <v>-233993.74000000954</v>
      </c>
      <c r="J344" s="299">
        <f t="shared" si="108"/>
        <v>67763535</v>
      </c>
      <c r="K344" s="299">
        <f t="shared" si="108"/>
        <v>0</v>
      </c>
      <c r="L344" s="299">
        <f t="shared" si="108"/>
        <v>0</v>
      </c>
      <c r="M344" s="299">
        <f>+M342-M343</f>
        <v>67529541.26000005</v>
      </c>
      <c r="N344" s="182" t="s">
        <v>29</v>
      </c>
      <c r="O344" s="230"/>
      <c r="P344" s="230"/>
      <c r="Q344" s="230"/>
      <c r="R344" s="230"/>
      <c r="S344" s="230"/>
      <c r="T344" s="231"/>
      <c r="U344" s="231"/>
      <c r="V344" s="231"/>
      <c r="W344" s="231"/>
      <c r="X344" s="231"/>
      <c r="Y344" s="231"/>
      <c r="Z344" s="231"/>
      <c r="AA344" s="808" t="s">
        <v>1479</v>
      </c>
      <c r="AB344" s="231"/>
      <c r="AC344" s="231"/>
      <c r="AD344" s="231"/>
      <c r="AE344" s="231"/>
      <c r="AF344" s="807">
        <f>AF24+AF44+AF45+AF65+AF81+AF85+AF86+AF89+AF94+AF118+AF120+AF121+AF254+AF257+AF259+AF260</f>
        <v>1427355.5699999996</v>
      </c>
      <c r="AP344" s="666"/>
    </row>
    <row r="345" spans="2:42" s="138" customFormat="1" ht="15.75">
      <c r="B345" s="46"/>
      <c r="C345" s="46"/>
      <c r="D345" s="65"/>
      <c r="E345" s="592"/>
      <c r="F345" s="593"/>
      <c r="G345" s="593"/>
      <c r="H345" s="593"/>
      <c r="I345" s="593"/>
      <c r="J345" s="593" t="s">
        <v>1167</v>
      </c>
      <c r="K345" s="593"/>
      <c r="L345" s="593"/>
      <c r="M345" s="593"/>
      <c r="N345" s="139"/>
      <c r="O345" s="594"/>
      <c r="P345" s="594"/>
      <c r="Q345" s="594"/>
      <c r="R345" s="594"/>
      <c r="S345" s="594"/>
      <c r="T345" s="595"/>
      <c r="U345" s="595"/>
      <c r="V345" s="595"/>
      <c r="W345" s="595"/>
      <c r="X345" s="595"/>
      <c r="Y345" s="595"/>
      <c r="Z345" s="595"/>
      <c r="AA345" s="809" t="s">
        <v>1479</v>
      </c>
      <c r="AB345" s="595"/>
      <c r="AC345" s="595"/>
      <c r="AD345" s="595"/>
      <c r="AE345" s="595"/>
      <c r="AF345" s="810">
        <f>AF56+AF131+AF237+AF173+AF106</f>
        <v>652106.48</v>
      </c>
      <c r="AP345" s="667"/>
    </row>
    <row r="346" spans="2:42" ht="15.75">
      <c r="B346" s="227"/>
      <c r="C346" s="227"/>
      <c r="D346" s="541"/>
      <c r="E346" s="228"/>
      <c r="F346" s="229"/>
      <c r="G346" s="593"/>
      <c r="H346" s="542">
        <v>77509090.940000013</v>
      </c>
      <c r="I346" s="542">
        <v>64861287.32</v>
      </c>
      <c r="J346" s="542">
        <v>102187325.34999999</v>
      </c>
      <c r="K346" s="542">
        <v>152087583.57999998</v>
      </c>
      <c r="L346" s="542">
        <v>41057830.620000005</v>
      </c>
      <c r="M346" s="542">
        <v>437703117.81000006</v>
      </c>
      <c r="N346" s="182"/>
      <c r="O346" s="230"/>
      <c r="P346" s="230"/>
      <c r="Q346" s="230"/>
      <c r="R346" s="230"/>
      <c r="S346" s="230"/>
      <c r="T346" s="231"/>
      <c r="U346" s="231"/>
      <c r="V346" s="231"/>
      <c r="W346" s="231"/>
      <c r="X346" s="231"/>
      <c r="Y346" s="231"/>
      <c r="Z346" s="231"/>
      <c r="AA346" t="s">
        <v>1484</v>
      </c>
      <c r="AB346" s="231"/>
      <c r="AC346" s="231"/>
      <c r="AD346" s="231"/>
      <c r="AE346" s="231"/>
      <c r="AF346" s="811">
        <f>AF344-AF345</f>
        <v>775249.08999999962</v>
      </c>
      <c r="AP346" s="666"/>
    </row>
    <row r="347" spans="2:42" ht="15.75">
      <c r="B347" s="227"/>
      <c r="C347" s="227"/>
      <c r="D347" s="541"/>
      <c r="E347" s="228"/>
      <c r="F347" s="229"/>
      <c r="G347" s="593"/>
      <c r="H347" s="542"/>
      <c r="I347" s="542"/>
      <c r="J347" s="542"/>
      <c r="K347" s="542"/>
      <c r="L347" s="542"/>
      <c r="M347" s="542"/>
      <c r="N347" s="182"/>
      <c r="O347" s="230"/>
      <c r="P347" s="230"/>
      <c r="Q347" s="230"/>
      <c r="R347" s="230"/>
      <c r="S347" s="230"/>
      <c r="T347" s="231"/>
      <c r="U347" s="231"/>
      <c r="V347" s="231"/>
      <c r="W347" s="231"/>
      <c r="X347" s="231"/>
      <c r="Y347" s="231"/>
      <c r="Z347" s="231"/>
      <c r="AA347" s="816" t="s">
        <v>1485</v>
      </c>
      <c r="AB347" s="231"/>
      <c r="AC347" s="231"/>
      <c r="AD347" s="231"/>
      <c r="AE347" s="231"/>
      <c r="AF347" s="811">
        <v>994465.87000000011</v>
      </c>
      <c r="AP347" s="666"/>
    </row>
    <row r="348" spans="2:42" ht="15.75">
      <c r="B348" s="227"/>
      <c r="C348" s="227"/>
      <c r="D348" s="541"/>
      <c r="E348" s="228"/>
      <c r="F348" s="229"/>
      <c r="G348" s="593"/>
      <c r="H348" s="542">
        <f t="shared" ref="H348:J348" si="109">H342-H346</f>
        <v>616491.9999999851</v>
      </c>
      <c r="I348" s="542">
        <f t="shared" si="109"/>
        <v>-233993.74000000954</v>
      </c>
      <c r="J348" s="542">
        <f t="shared" si="109"/>
        <v>-1393825.4099999964</v>
      </c>
      <c r="K348" s="542">
        <f>K342-K346</f>
        <v>-1249999.9999999702</v>
      </c>
      <c r="L348" s="542">
        <f>L342-L346</f>
        <v>3797428</v>
      </c>
      <c r="M348" s="542"/>
      <c r="N348" s="182"/>
      <c r="O348" s="230"/>
      <c r="P348" s="230"/>
      <c r="Q348" s="230"/>
      <c r="R348" s="230"/>
      <c r="S348" s="230"/>
      <c r="T348" s="231"/>
      <c r="U348" s="231"/>
      <c r="V348" s="231"/>
      <c r="W348" s="231"/>
      <c r="X348" s="231"/>
      <c r="Y348" s="231"/>
      <c r="Z348" s="231"/>
      <c r="AA348" s="231"/>
      <c r="AB348" s="231"/>
      <c r="AC348" s="231"/>
      <c r="AD348" s="231"/>
      <c r="AE348" s="231"/>
      <c r="AF348" s="182">
        <f>SUM(AF346:AF347)</f>
        <v>1769714.9599999997</v>
      </c>
      <c r="AP348" s="666"/>
    </row>
    <row r="349" spans="2:42" ht="63">
      <c r="B349" s="227"/>
      <c r="C349" s="20" t="s">
        <v>1369</v>
      </c>
      <c r="D349" s="644" t="s">
        <v>1370</v>
      </c>
      <c r="E349" s="645" t="s">
        <v>1371</v>
      </c>
      <c r="F349" s="646" t="s">
        <v>1372</v>
      </c>
      <c r="G349" s="757"/>
      <c r="H349" s="229"/>
      <c r="I349" s="229"/>
      <c r="J349" s="229" t="s">
        <v>1130</v>
      </c>
      <c r="K349" s="229" t="s">
        <v>1131</v>
      </c>
      <c r="L349" s="229" t="s">
        <v>1132</v>
      </c>
      <c r="M349" s="229"/>
      <c r="N349" s="182"/>
      <c r="O349" s="230"/>
      <c r="P349" s="230"/>
      <c r="Q349" s="230"/>
      <c r="R349" s="230"/>
      <c r="S349" s="230"/>
      <c r="T349" s="231"/>
      <c r="U349" s="231"/>
      <c r="V349" s="231"/>
      <c r="W349" s="231"/>
      <c r="X349" s="231"/>
      <c r="Y349" s="231"/>
      <c r="Z349" s="231"/>
      <c r="AA349" s="231"/>
      <c r="AB349" s="231"/>
      <c r="AC349" s="231"/>
      <c r="AD349" s="231"/>
      <c r="AE349" s="231"/>
      <c r="AP349" s="666"/>
    </row>
    <row r="350" spans="2:42" ht="78.75">
      <c r="B350" s="227"/>
      <c r="C350" s="20" t="s">
        <v>1373</v>
      </c>
      <c r="D350" s="644" t="s">
        <v>1374</v>
      </c>
      <c r="E350" s="645" t="s">
        <v>1375</v>
      </c>
      <c r="F350" s="646" t="s">
        <v>1376</v>
      </c>
      <c r="G350" s="757"/>
      <c r="H350" s="229"/>
      <c r="I350" s="229"/>
      <c r="J350" s="229" t="s">
        <v>1133</v>
      </c>
      <c r="K350" s="229"/>
      <c r="L350" s="229"/>
      <c r="M350" s="229"/>
      <c r="N350" s="182"/>
      <c r="O350" s="230"/>
      <c r="P350" s="230"/>
      <c r="Q350" s="230"/>
      <c r="R350" s="230"/>
      <c r="S350" s="230"/>
      <c r="T350" s="231"/>
      <c r="U350" s="231"/>
      <c r="V350" s="231"/>
      <c r="W350" s="231"/>
      <c r="X350" s="231"/>
      <c r="Y350" s="231"/>
      <c r="Z350" s="231"/>
      <c r="AA350" s="231"/>
      <c r="AB350" s="231"/>
      <c r="AC350" s="231"/>
      <c r="AD350" s="231"/>
      <c r="AE350" s="231"/>
      <c r="AP350" s="666"/>
    </row>
    <row r="351" spans="2:42" ht="31.5">
      <c r="B351" s="227"/>
      <c r="C351" s="227"/>
      <c r="D351" s="541"/>
      <c r="E351" s="228"/>
      <c r="F351" s="229"/>
      <c r="G351" s="593"/>
      <c r="H351" s="229"/>
      <c r="I351" s="229"/>
      <c r="J351" s="229" t="s">
        <v>1134</v>
      </c>
      <c r="K351" s="543"/>
      <c r="L351" s="229"/>
      <c r="M351" s="229"/>
      <c r="N351" s="182"/>
      <c r="O351" s="230"/>
      <c r="P351" s="230"/>
      <c r="Q351" s="230"/>
      <c r="R351" s="230"/>
      <c r="S351" s="230"/>
      <c r="T351" s="231"/>
      <c r="U351" s="231"/>
      <c r="V351" s="231"/>
      <c r="W351" s="231"/>
      <c r="X351" s="231"/>
      <c r="Y351" s="231"/>
      <c r="Z351" s="231"/>
      <c r="AA351" s="231"/>
      <c r="AB351" s="231"/>
      <c r="AC351" s="231"/>
      <c r="AD351" s="231"/>
      <c r="AE351" s="231"/>
      <c r="AP351" s="666"/>
    </row>
    <row r="352" spans="2:42" ht="18.75">
      <c r="B352" s="227"/>
      <c r="C352" s="227"/>
      <c r="D352" s="541"/>
      <c r="E352" s="825">
        <v>233993.74000001</v>
      </c>
      <c r="F352" s="229"/>
      <c r="G352" s="593"/>
      <c r="H352" s="229"/>
      <c r="I352" s="229"/>
      <c r="J352" s="229"/>
      <c r="K352" s="543"/>
      <c r="L352" s="229"/>
      <c r="M352" s="229"/>
      <c r="N352" s="182"/>
      <c r="O352" s="230"/>
      <c r="P352" s="230"/>
      <c r="Q352" s="230"/>
      <c r="R352" s="230"/>
      <c r="S352" s="230"/>
      <c r="T352" s="231"/>
      <c r="U352" s="231"/>
      <c r="V352" s="231"/>
      <c r="W352" s="231"/>
      <c r="X352" s="231"/>
      <c r="Y352" s="231"/>
      <c r="Z352" s="231"/>
      <c r="AA352" s="231"/>
      <c r="AB352" s="231"/>
      <c r="AC352" s="231"/>
      <c r="AD352" s="231"/>
      <c r="AE352" s="231"/>
      <c r="AP352" s="666"/>
    </row>
    <row r="353" spans="2:42" ht="15.75">
      <c r="B353" s="227"/>
      <c r="C353" s="822" t="s">
        <v>1350</v>
      </c>
      <c r="D353" s="823" t="s">
        <v>1507</v>
      </c>
      <c r="E353" s="824">
        <v>11291.58</v>
      </c>
      <c r="F353" s="228"/>
      <c r="G353" s="592"/>
      <c r="H353" s="229"/>
      <c r="I353" s="229"/>
      <c r="J353" s="229"/>
      <c r="K353" s="229"/>
      <c r="L353" s="229"/>
      <c r="M353" s="229"/>
      <c r="N353" s="230"/>
      <c r="O353" s="230"/>
      <c r="P353" s="230"/>
      <c r="Q353" s="230"/>
      <c r="R353" s="230"/>
      <c r="S353" s="230"/>
      <c r="T353" s="231"/>
      <c r="U353" s="231"/>
      <c r="V353" s="231"/>
      <c r="W353" s="231"/>
      <c r="X353" s="231"/>
      <c r="Y353" s="231"/>
      <c r="Z353" s="231"/>
      <c r="AA353" s="231"/>
      <c r="AB353" s="231"/>
      <c r="AC353" s="231"/>
      <c r="AD353" s="231"/>
      <c r="AE353" s="231"/>
      <c r="AP353" s="666"/>
    </row>
    <row r="354" spans="2:42" ht="28.5">
      <c r="B354" s="227"/>
      <c r="C354" s="822" t="s">
        <v>1348</v>
      </c>
      <c r="D354" s="823" t="s">
        <v>1508</v>
      </c>
      <c r="E354" s="824">
        <v>11611.46</v>
      </c>
      <c r="F354" s="228"/>
      <c r="G354" s="592"/>
      <c r="H354" s="229"/>
      <c r="I354" s="229"/>
      <c r="J354" s="229">
        <f>J23+J58+J72+J73+J93+J96+J112+J121+J131+J158+J215+J253+J256+J268+J303+J250+J267+J95</f>
        <v>10378991.67</v>
      </c>
      <c r="K354" s="229"/>
      <c r="L354" s="229"/>
      <c r="M354" s="229"/>
      <c r="N354" s="230"/>
      <c r="O354" s="230"/>
      <c r="P354" s="230"/>
      <c r="Q354" s="230"/>
      <c r="R354" s="230"/>
      <c r="S354" s="230"/>
      <c r="T354" s="231"/>
      <c r="U354" s="231"/>
      <c r="V354" s="231"/>
      <c r="W354" s="231"/>
      <c r="X354" s="231"/>
      <c r="Y354" s="231"/>
      <c r="Z354" s="231"/>
      <c r="AA354" s="231"/>
      <c r="AB354" s="231"/>
      <c r="AC354" s="231"/>
      <c r="AD354" s="231"/>
      <c r="AE354" s="231"/>
      <c r="AP354" s="666"/>
    </row>
    <row r="355" spans="2:42" ht="28.5">
      <c r="B355" s="227"/>
      <c r="C355" s="822" t="s">
        <v>1345</v>
      </c>
      <c r="D355" s="823" t="s">
        <v>1509</v>
      </c>
      <c r="E355" s="824">
        <v>13587.34</v>
      </c>
      <c r="F355" s="228"/>
      <c r="G355" s="592"/>
      <c r="H355" s="229"/>
      <c r="I355" s="229"/>
      <c r="J355" s="229">
        <f>J343-J354</f>
        <v>22650973.270000003</v>
      </c>
      <c r="K355" s="229"/>
      <c r="L355" s="229"/>
      <c r="M355" s="229"/>
      <c r="N355" s="230"/>
      <c r="O355" s="230"/>
      <c r="P355" s="230"/>
      <c r="Q355" s="230"/>
      <c r="R355" s="230"/>
      <c r="S355" s="230"/>
      <c r="T355" s="231"/>
      <c r="U355" s="231"/>
      <c r="V355" s="231"/>
      <c r="W355" s="231"/>
      <c r="X355" s="231"/>
      <c r="Y355" s="231"/>
      <c r="Z355" s="231"/>
      <c r="AA355" s="231"/>
      <c r="AB355" s="231"/>
      <c r="AC355" s="231"/>
      <c r="AD355" s="231"/>
      <c r="AE355" s="231"/>
      <c r="AP355" s="666"/>
    </row>
    <row r="356" spans="2:42" ht="28.5">
      <c r="B356" s="227"/>
      <c r="C356" s="822" t="s">
        <v>1510</v>
      </c>
      <c r="D356" s="823" t="s">
        <v>1511</v>
      </c>
      <c r="E356" s="824">
        <v>25662.39</v>
      </c>
      <c r="F356" s="228"/>
      <c r="G356" s="592"/>
      <c r="H356" s="229"/>
      <c r="I356" s="229"/>
      <c r="J356" s="229"/>
      <c r="K356" s="229"/>
      <c r="L356" s="229"/>
      <c r="M356" s="229"/>
      <c r="N356" s="230"/>
      <c r="O356" s="230"/>
      <c r="P356" s="230"/>
      <c r="Q356" s="230"/>
      <c r="R356" s="230"/>
      <c r="S356" s="230"/>
      <c r="T356" s="231"/>
      <c r="U356" s="231"/>
      <c r="V356" s="231"/>
      <c r="W356" s="231"/>
      <c r="X356" s="231"/>
      <c r="Y356" s="231"/>
      <c r="Z356" s="231"/>
      <c r="AA356" s="231"/>
      <c r="AB356" s="231"/>
      <c r="AC356" s="231"/>
      <c r="AD356" s="231"/>
      <c r="AE356" s="231"/>
      <c r="AP356" s="666"/>
    </row>
    <row r="357" spans="2:42" ht="42.75">
      <c r="B357" s="227"/>
      <c r="C357" s="822" t="s">
        <v>1369</v>
      </c>
      <c r="D357" s="823" t="s">
        <v>1512</v>
      </c>
      <c r="E357" s="824">
        <v>17628.650000000001</v>
      </c>
      <c r="F357" s="228"/>
      <c r="G357" s="592"/>
      <c r="H357" s="229"/>
      <c r="I357" s="229"/>
      <c r="J357" s="229"/>
      <c r="K357" s="229"/>
      <c r="L357" s="229"/>
      <c r="M357" s="229"/>
      <c r="N357" s="230"/>
      <c r="O357" s="230"/>
      <c r="P357" s="230"/>
      <c r="Q357" s="230"/>
      <c r="R357" s="230"/>
      <c r="S357" s="230"/>
      <c r="T357" s="231"/>
      <c r="U357" s="231"/>
      <c r="V357" s="231"/>
      <c r="W357" s="231"/>
      <c r="X357" s="231"/>
      <c r="Y357" s="231"/>
      <c r="Z357" s="231"/>
      <c r="AA357" s="231"/>
      <c r="AB357" s="231"/>
      <c r="AC357" s="231"/>
      <c r="AD357" s="231"/>
      <c r="AE357" s="231"/>
      <c r="AP357" s="666"/>
    </row>
    <row r="358" spans="2:42" ht="15.75">
      <c r="B358" s="227"/>
      <c r="C358" s="822" t="s">
        <v>1514</v>
      </c>
      <c r="D358" s="823" t="s">
        <v>1515</v>
      </c>
      <c r="E358" s="824">
        <v>40000</v>
      </c>
      <c r="F358" s="228"/>
      <c r="G358" s="592"/>
      <c r="H358" s="229"/>
      <c r="I358" s="229"/>
      <c r="J358" s="229"/>
      <c r="K358" s="229"/>
      <c r="L358" s="229"/>
      <c r="M358" s="229"/>
      <c r="N358" s="230"/>
      <c r="O358" s="230"/>
      <c r="P358" s="230"/>
      <c r="Q358" s="230"/>
      <c r="R358" s="230"/>
      <c r="S358" s="230"/>
      <c r="T358" s="231"/>
      <c r="U358" s="231"/>
      <c r="V358" s="231"/>
      <c r="W358" s="231"/>
      <c r="X358" s="231"/>
      <c r="Y358" s="231"/>
      <c r="Z358" s="231"/>
      <c r="AA358" s="231"/>
      <c r="AB358" s="231"/>
      <c r="AC358" s="231"/>
      <c r="AD358" s="231"/>
      <c r="AE358" s="231"/>
      <c r="AP358" s="666"/>
    </row>
    <row r="359" spans="2:42" ht="15.75">
      <c r="B359" s="227"/>
      <c r="C359" s="822"/>
      <c r="D359" s="823"/>
      <c r="E359" s="824"/>
      <c r="F359" s="228"/>
      <c r="G359" s="592"/>
      <c r="H359" s="229"/>
      <c r="I359" s="229"/>
      <c r="J359" s="229"/>
      <c r="K359" s="229"/>
      <c r="L359" s="229"/>
      <c r="M359" s="229"/>
      <c r="N359" s="230"/>
      <c r="O359" s="230"/>
      <c r="P359" s="230"/>
      <c r="Q359" s="230"/>
      <c r="R359" s="230"/>
      <c r="S359" s="230"/>
      <c r="T359" s="231"/>
      <c r="U359" s="231"/>
      <c r="V359" s="231"/>
      <c r="W359" s="231"/>
      <c r="X359" s="231"/>
      <c r="Y359" s="231"/>
      <c r="Z359" s="231"/>
      <c r="AA359" s="231"/>
      <c r="AB359" s="231"/>
      <c r="AC359" s="231"/>
      <c r="AD359" s="231"/>
      <c r="AE359" s="231"/>
      <c r="AP359" s="666"/>
    </row>
    <row r="360" spans="2:42" ht="15.75">
      <c r="B360" s="227"/>
      <c r="C360" s="822"/>
      <c r="D360" s="823"/>
      <c r="E360" s="824"/>
      <c r="F360" s="228"/>
      <c r="G360" s="592"/>
      <c r="H360" s="229"/>
      <c r="I360" s="229"/>
      <c r="J360" s="229"/>
      <c r="K360" s="229"/>
      <c r="L360" s="229"/>
      <c r="M360" s="229"/>
      <c r="N360" s="230"/>
      <c r="O360" s="230"/>
      <c r="P360" s="230"/>
      <c r="Q360" s="230"/>
      <c r="R360" s="230"/>
      <c r="S360" s="230"/>
      <c r="T360" s="231"/>
      <c r="U360" s="231"/>
      <c r="V360" s="231"/>
      <c r="W360" s="231"/>
      <c r="X360" s="231"/>
      <c r="Y360" s="231"/>
      <c r="Z360" s="231"/>
      <c r="AA360" s="231"/>
      <c r="AB360" s="231"/>
      <c r="AC360" s="231"/>
      <c r="AD360" s="231"/>
      <c r="AE360" s="231"/>
      <c r="AP360" s="666"/>
    </row>
    <row r="361" spans="2:42" ht="38.25">
      <c r="B361" s="227"/>
      <c r="C361" s="822" t="s">
        <v>1053</v>
      </c>
      <c r="D361" s="823" t="s">
        <v>1513</v>
      </c>
      <c r="E361" s="824">
        <v>58199.59</v>
      </c>
      <c r="F361" s="228"/>
      <c r="G361" s="592"/>
      <c r="H361" s="229"/>
      <c r="I361" s="229"/>
      <c r="J361" s="229"/>
      <c r="K361" s="229"/>
      <c r="L361" s="229"/>
      <c r="M361" s="229"/>
      <c r="N361" s="230"/>
      <c r="O361" s="230"/>
      <c r="P361" s="230"/>
      <c r="Q361" s="230"/>
      <c r="R361" s="230"/>
      <c r="S361" s="230"/>
      <c r="T361" s="231"/>
      <c r="U361" s="231"/>
      <c r="V361" s="231"/>
      <c r="W361" s="231"/>
      <c r="X361" s="231"/>
      <c r="Y361" s="231"/>
      <c r="Z361" s="231"/>
      <c r="AA361" s="231"/>
      <c r="AB361" s="231"/>
      <c r="AC361" s="231"/>
      <c r="AD361" s="231"/>
      <c r="AE361" s="231"/>
      <c r="AP361" s="666"/>
    </row>
    <row r="362" spans="2:42" ht="15.75">
      <c r="B362" s="227"/>
      <c r="C362" s="227"/>
      <c r="D362" s="228"/>
      <c r="E362" s="826">
        <f>SUM(E353:E361)</f>
        <v>177981.01</v>
      </c>
      <c r="F362" s="228"/>
      <c r="G362" s="592"/>
      <c r="H362" s="229"/>
      <c r="I362" s="229"/>
      <c r="J362" s="229"/>
      <c r="K362" s="229"/>
      <c r="L362" s="229"/>
      <c r="M362" s="229"/>
      <c r="N362" s="230"/>
      <c r="O362" s="230"/>
      <c r="P362" s="230"/>
      <c r="Q362" s="230"/>
      <c r="R362" s="230"/>
      <c r="S362" s="230"/>
      <c r="T362" s="231"/>
      <c r="U362" s="231"/>
      <c r="V362" s="231"/>
      <c r="W362" s="231"/>
      <c r="X362" s="231"/>
      <c r="Y362" s="231"/>
      <c r="Z362" s="231"/>
      <c r="AA362" s="231"/>
      <c r="AB362" s="231"/>
      <c r="AC362" s="231"/>
      <c r="AD362" s="231"/>
      <c r="AE362" s="231"/>
      <c r="AP362" s="666"/>
    </row>
    <row r="363" spans="2:42" ht="15.75">
      <c r="B363" s="227"/>
      <c r="C363" s="227"/>
      <c r="D363" s="228"/>
      <c r="E363" s="825">
        <f>E352-E362</f>
        <v>56012.730000009993</v>
      </c>
      <c r="F363" s="228"/>
      <c r="G363" s="592"/>
      <c r="H363" s="229"/>
      <c r="I363" s="229"/>
      <c r="J363" s="229"/>
      <c r="K363" s="229"/>
      <c r="L363" s="229"/>
      <c r="M363" s="229"/>
      <c r="N363" s="230"/>
      <c r="O363" s="230"/>
      <c r="P363" s="230"/>
      <c r="Q363" s="230"/>
      <c r="R363" s="230"/>
      <c r="S363" s="230"/>
      <c r="T363" s="231"/>
      <c r="U363" s="231"/>
      <c r="V363" s="231"/>
      <c r="W363" s="231"/>
      <c r="X363" s="231"/>
      <c r="Y363" s="231"/>
      <c r="Z363" s="231"/>
      <c r="AA363" s="231"/>
      <c r="AB363" s="231"/>
      <c r="AC363" s="231"/>
      <c r="AD363" s="231"/>
      <c r="AE363" s="231"/>
      <c r="AP363" s="666"/>
    </row>
    <row r="364" spans="2:42" ht="15.75">
      <c r="B364" s="227"/>
      <c r="C364" s="227"/>
      <c r="D364" s="228"/>
      <c r="E364" s="825">
        <v>287616.21000000002</v>
      </c>
      <c r="F364" s="228"/>
      <c r="G364" s="592"/>
      <c r="H364" s="229"/>
      <c r="I364" s="229"/>
      <c r="J364" s="229"/>
      <c r="K364" s="229"/>
      <c r="L364" s="229"/>
      <c r="M364" s="229"/>
      <c r="N364" s="230"/>
      <c r="O364" s="230"/>
      <c r="P364" s="230"/>
      <c r="Q364" s="230"/>
      <c r="R364" s="230"/>
      <c r="S364" s="230"/>
      <c r="T364" s="231"/>
      <c r="U364" s="231"/>
      <c r="V364" s="231"/>
      <c r="W364" s="231"/>
      <c r="X364" s="231"/>
      <c r="Y364" s="231"/>
      <c r="Z364" s="231"/>
      <c r="AA364" s="231"/>
      <c r="AB364" s="231"/>
      <c r="AC364" s="231"/>
      <c r="AD364" s="231"/>
      <c r="AE364" s="231"/>
      <c r="AP364" s="666"/>
    </row>
    <row r="365" spans="2:42" ht="15.75">
      <c r="B365" s="227"/>
      <c r="C365" s="227"/>
      <c r="D365" s="228"/>
      <c r="E365" s="825">
        <f>SUM(E363:E364)</f>
        <v>343628.94000001001</v>
      </c>
      <c r="F365" s="228"/>
      <c r="G365" s="592"/>
      <c r="H365" s="229"/>
      <c r="I365" s="229"/>
      <c r="J365" s="229"/>
      <c r="K365" s="229"/>
      <c r="L365" s="229"/>
      <c r="M365" s="229"/>
      <c r="N365" s="230"/>
      <c r="O365" s="230"/>
      <c r="P365" s="230"/>
      <c r="Q365" s="230"/>
      <c r="R365" s="230"/>
      <c r="S365" s="230"/>
      <c r="T365" s="231"/>
      <c r="U365" s="231"/>
      <c r="V365" s="231"/>
      <c r="W365" s="231"/>
      <c r="X365" s="231"/>
      <c r="Y365" s="231"/>
      <c r="Z365" s="231"/>
      <c r="AA365" s="231"/>
      <c r="AB365" s="231"/>
      <c r="AC365" s="231"/>
      <c r="AD365" s="231"/>
      <c r="AE365" s="231"/>
      <c r="AP365" s="666"/>
    </row>
    <row r="366" spans="2:42" ht="15.75">
      <c r="B366" s="227"/>
      <c r="C366" s="227"/>
      <c r="D366" s="228"/>
      <c r="E366" s="228"/>
      <c r="F366" s="228"/>
      <c r="G366" s="592"/>
      <c r="H366" s="229"/>
      <c r="I366" s="229"/>
      <c r="J366" s="229"/>
      <c r="K366" s="229"/>
      <c r="L366" s="229"/>
      <c r="M366" s="229"/>
      <c r="N366" s="230"/>
      <c r="O366" s="230"/>
      <c r="P366" s="230"/>
      <c r="Q366" s="230"/>
      <c r="R366" s="230"/>
      <c r="S366" s="230"/>
      <c r="T366" s="231"/>
      <c r="U366" s="231"/>
      <c r="V366" s="231"/>
      <c r="W366" s="231"/>
      <c r="X366" s="231"/>
      <c r="Y366" s="231"/>
      <c r="Z366" s="231"/>
      <c r="AA366" s="231"/>
      <c r="AB366" s="231"/>
      <c r="AC366" s="231"/>
      <c r="AD366" s="231"/>
      <c r="AE366" s="231"/>
      <c r="AP366" s="666"/>
    </row>
    <row r="367" spans="2:42" s="291" customFormat="1">
      <c r="B367" s="287" t="s">
        <v>754</v>
      </c>
      <c r="C367" s="287"/>
      <c r="D367" s="287"/>
      <c r="E367" s="287"/>
      <c r="F367" s="562"/>
      <c r="G367" s="758"/>
      <c r="H367" s="287"/>
      <c r="I367" s="287"/>
      <c r="J367" s="287"/>
      <c r="K367" s="693"/>
      <c r="L367" s="1"/>
      <c r="M367" s="288"/>
      <c r="N367" s="290"/>
      <c r="O367" s="290"/>
      <c r="P367" s="290"/>
      <c r="Q367" s="290"/>
      <c r="R367" s="290"/>
      <c r="S367" s="290"/>
      <c r="T367" s="288"/>
      <c r="U367" s="288"/>
      <c r="V367" s="288"/>
      <c r="W367" s="288"/>
      <c r="X367" s="288"/>
      <c r="Y367" s="288"/>
      <c r="Z367" s="288"/>
      <c r="AA367" s="288"/>
      <c r="AB367" s="288"/>
      <c r="AC367" s="288"/>
      <c r="AD367" s="288"/>
      <c r="AE367" s="288"/>
      <c r="AP367" s="663"/>
    </row>
    <row r="368" spans="2:42" s="291" customFormat="1" ht="13.9" customHeight="1">
      <c r="B368" s="998" t="s">
        <v>755</v>
      </c>
      <c r="C368" s="998"/>
      <c r="D368" s="998"/>
      <c r="E368" s="998"/>
      <c r="F368" s="998"/>
      <c r="G368" s="998"/>
      <c r="H368" s="998"/>
      <c r="I368" s="998"/>
      <c r="J368" s="998"/>
      <c r="K368" s="998"/>
      <c r="L368" s="998"/>
      <c r="M368" s="288"/>
      <c r="N368" s="290"/>
      <c r="O368" s="290"/>
      <c r="P368" s="290"/>
      <c r="Q368" s="290"/>
      <c r="R368" s="290"/>
      <c r="S368" s="290"/>
      <c r="T368" s="288"/>
      <c r="U368" s="288"/>
      <c r="V368" s="288"/>
      <c r="W368" s="288"/>
      <c r="X368" s="288"/>
      <c r="Y368" s="288"/>
      <c r="Z368" s="288"/>
      <c r="AA368" s="288"/>
      <c r="AB368" s="288"/>
      <c r="AC368" s="288"/>
      <c r="AD368" s="288"/>
      <c r="AE368" s="288"/>
      <c r="AP368" s="663"/>
    </row>
    <row r="369" spans="2:42" ht="15.75">
      <c r="B369"/>
      <c r="C369"/>
      <c r="D369"/>
      <c r="E369"/>
      <c r="F369" s="563"/>
      <c r="G369" s="344"/>
      <c r="H369"/>
      <c r="I369"/>
      <c r="J369"/>
      <c r="K369"/>
      <c r="L369" s="229"/>
      <c r="M369" s="229"/>
      <c r="N369" s="230"/>
      <c r="O369" s="230"/>
      <c r="P369" s="230"/>
      <c r="Q369" s="230"/>
      <c r="R369" s="230"/>
      <c r="S369" s="230"/>
      <c r="T369" s="231"/>
      <c r="U369" s="231"/>
      <c r="V369" s="231"/>
      <c r="W369" s="231"/>
      <c r="X369" s="231"/>
      <c r="Y369" s="231"/>
      <c r="Z369" s="231"/>
      <c r="AA369" s="231"/>
      <c r="AB369" s="231"/>
      <c r="AC369" s="231"/>
      <c r="AD369" s="231"/>
      <c r="AE369" s="231"/>
      <c r="AP369" s="666"/>
    </row>
    <row r="370" spans="2:42">
      <c r="AP370" s="666"/>
    </row>
    <row r="371" spans="2:42" ht="30">
      <c r="D371" s="1008" t="s">
        <v>109</v>
      </c>
      <c r="E371" s="1008"/>
      <c r="F371" s="1008"/>
      <c r="G371" s="1008"/>
      <c r="H371" s="1008"/>
      <c r="I371" s="1008"/>
      <c r="J371" s="1008"/>
      <c r="K371" s="1008"/>
      <c r="L371" s="1008"/>
      <c r="M371" s="1008"/>
      <c r="N371" s="144"/>
      <c r="O371" s="144"/>
      <c r="P371" s="144"/>
      <c r="Q371" s="144"/>
      <c r="R371" s="144"/>
      <c r="S371" s="144"/>
      <c r="T371" s="144"/>
      <c r="U371" s="144"/>
      <c r="V371" s="144"/>
      <c r="W371" s="144"/>
      <c r="X371" s="144"/>
      <c r="Y371" s="144"/>
      <c r="Z371" s="144"/>
      <c r="AA371" s="144"/>
      <c r="AB371" s="144"/>
      <c r="AC371" s="144"/>
      <c r="AD371" s="144"/>
      <c r="AE371" s="144"/>
      <c r="AP371" s="666"/>
    </row>
    <row r="372" spans="2:42" ht="30">
      <c r="B372" s="387" t="s">
        <v>788</v>
      </c>
      <c r="C372" s="387"/>
      <c r="D372" s="387"/>
      <c r="E372" s="387"/>
      <c r="F372" s="386"/>
      <c r="G372" s="760"/>
      <c r="H372" s="386"/>
      <c r="I372" s="386"/>
      <c r="J372" s="386"/>
      <c r="K372" s="386"/>
      <c r="L372" s="386"/>
      <c r="M372" s="386"/>
      <c r="N372"/>
      <c r="O372"/>
      <c r="P372"/>
      <c r="AP372" s="666"/>
    </row>
    <row r="373" spans="2:42" ht="27">
      <c r="B373" s="153"/>
      <c r="C373" s="345"/>
      <c r="D373" s="169" t="s">
        <v>119</v>
      </c>
      <c r="E373" s="154"/>
      <c r="F373" s="183"/>
      <c r="G373" s="183"/>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P373" s="666"/>
    </row>
    <row r="374" spans="2:42" ht="31.5">
      <c r="B374" s="214">
        <v>1</v>
      </c>
      <c r="C374" s="214"/>
      <c r="D374" s="346" t="s">
        <v>120</v>
      </c>
      <c r="E374" s="666"/>
      <c r="F374" s="390"/>
      <c r="G374" s="761"/>
      <c r="H374" s="215">
        <f>SUM(H375:H458)</f>
        <v>45568677.31000001</v>
      </c>
      <c r="I374" s="390"/>
      <c r="J374" s="390"/>
      <c r="K374" s="390"/>
      <c r="L374" s="390"/>
      <c r="M374" s="390"/>
      <c r="N374" s="666"/>
      <c r="O374" s="666"/>
      <c r="P374" s="666"/>
      <c r="Q374" s="666"/>
      <c r="R374" s="666"/>
      <c r="S374" s="666"/>
      <c r="T374" s="666"/>
      <c r="U374" s="666"/>
      <c r="V374" s="666"/>
      <c r="W374" s="666"/>
      <c r="X374" s="666"/>
      <c r="Y374" s="666"/>
      <c r="Z374" s="666"/>
      <c r="AA374" s="666"/>
      <c r="AB374" s="666"/>
      <c r="AC374" s="666"/>
      <c r="AD374" s="666"/>
      <c r="AE374" s="666"/>
      <c r="AP374" s="666"/>
    </row>
    <row r="375" spans="2:42" ht="30">
      <c r="B375" s="193">
        <f>+B374+0.1</f>
        <v>1.1000000000000001</v>
      </c>
      <c r="C375" s="492" t="s">
        <v>121</v>
      </c>
      <c r="D375" s="493" t="s">
        <v>122</v>
      </c>
      <c r="E375" s="666"/>
      <c r="F375" s="390"/>
      <c r="G375" s="761"/>
      <c r="H375" s="155">
        <f>4755500-166949.58- 781408.31</f>
        <v>3807142.11</v>
      </c>
      <c r="I375" s="390"/>
      <c r="J375" s="390"/>
      <c r="K375" s="390"/>
      <c r="L375" s="390"/>
      <c r="M375" s="416">
        <f>SUM(H375:L375)</f>
        <v>3807142.11</v>
      </c>
      <c r="N375" s="155">
        <f>385403.62+287691.77+231332.43+310351.65+585697.5+874230.74+730823.75+401610.65</f>
        <v>3807142.11</v>
      </c>
      <c r="O375" s="666"/>
      <c r="P375" s="666"/>
      <c r="Q375" s="666"/>
      <c r="R375" s="666"/>
      <c r="S375" s="152">
        <f>SUM(N375:R375)</f>
        <v>3807142.11</v>
      </c>
      <c r="T375" s="381">
        <f>+H375-N375</f>
        <v>0</v>
      </c>
      <c r="U375" s="666"/>
      <c r="V375" s="666"/>
      <c r="W375" s="666"/>
      <c r="X375" s="666"/>
      <c r="Y375" s="152">
        <f>SUM(T375:X375)</f>
        <v>0</v>
      </c>
      <c r="Z375" s="666"/>
      <c r="AA375" s="666"/>
      <c r="AB375" s="666"/>
      <c r="AC375" s="666"/>
      <c r="AD375" s="666"/>
      <c r="AE375" s="666"/>
      <c r="AP375" s="666" t="s">
        <v>1404</v>
      </c>
    </row>
    <row r="376" spans="2:42" ht="30">
      <c r="B376" s="193">
        <v>1.2</v>
      </c>
      <c r="C376" s="492" t="s">
        <v>123</v>
      </c>
      <c r="D376" s="493" t="s">
        <v>124</v>
      </c>
      <c r="E376" s="666"/>
      <c r="F376" s="390"/>
      <c r="G376" s="761"/>
      <c r="H376" s="155">
        <f>5000000+202648.7-39108.85-11761.64-54210.38+91470.67-322111.45+28885.68</f>
        <v>4895812.7300000004</v>
      </c>
      <c r="I376" s="390"/>
      <c r="J376" s="390"/>
      <c r="K376" s="390"/>
      <c r="L376" s="390"/>
      <c r="M376" s="416">
        <f t="shared" ref="M376:M439" si="110">SUM(H376:L376)</f>
        <v>4895812.7300000004</v>
      </c>
      <c r="N376" s="155">
        <f>15750.03+323858.91+243952.99+496168.85+694368.97+1678415.09+864531.38+16752.23+11350.81+32027.84+18561.55+37386.46+32577.59</f>
        <v>4465702.6999999993</v>
      </c>
      <c r="O376" s="666"/>
      <c r="P376" s="666"/>
      <c r="Q376" s="666"/>
      <c r="R376" s="666"/>
      <c r="S376" s="152">
        <f t="shared" ref="S376:S439" si="111">SUM(N376:R376)</f>
        <v>4465702.6999999993</v>
      </c>
      <c r="T376" s="170">
        <f t="shared" ref="T376:T384" si="112">+H376-N376</f>
        <v>430110.03000000119</v>
      </c>
      <c r="U376" s="666"/>
      <c r="V376" s="666"/>
      <c r="W376" s="666"/>
      <c r="X376" s="666"/>
      <c r="Y376" s="152">
        <f t="shared" ref="Y376:Y439" si="113">SUM(T376:X376)</f>
        <v>430110.03000000119</v>
      </c>
      <c r="Z376" s="666"/>
      <c r="AA376" s="666"/>
      <c r="AB376" s="666"/>
      <c r="AC376" s="666"/>
      <c r="AD376" s="666"/>
      <c r="AE376" s="666"/>
      <c r="AP376" s="666" t="s">
        <v>1404</v>
      </c>
    </row>
    <row r="377" spans="2:42" ht="90">
      <c r="B377" s="193">
        <v>1.3</v>
      </c>
      <c r="C377" s="492" t="s">
        <v>125</v>
      </c>
      <c r="D377" s="156" t="s">
        <v>126</v>
      </c>
      <c r="E377" s="666"/>
      <c r="F377" s="390"/>
      <c r="G377" s="761"/>
      <c r="H377" s="155">
        <f>330000-1423.47</f>
        <v>328576.53000000003</v>
      </c>
      <c r="I377" s="415"/>
      <c r="J377" s="436"/>
      <c r="K377" s="390"/>
      <c r="L377" s="390"/>
      <c r="M377" s="416">
        <f t="shared" si="110"/>
        <v>328576.53000000003</v>
      </c>
      <c r="N377" s="155">
        <v>48424.74</v>
      </c>
      <c r="O377" s="666"/>
      <c r="P377" s="666"/>
      <c r="Q377" s="666"/>
      <c r="R377" s="666"/>
      <c r="S377" s="152">
        <f t="shared" si="111"/>
        <v>48424.74</v>
      </c>
      <c r="T377" s="170">
        <f t="shared" si="112"/>
        <v>280151.79000000004</v>
      </c>
      <c r="U377" s="666"/>
      <c r="V377" s="666"/>
      <c r="W377" s="666"/>
      <c r="X377" s="666"/>
      <c r="Y377" s="152">
        <f t="shared" si="113"/>
        <v>280151.79000000004</v>
      </c>
      <c r="Z377" s="666"/>
      <c r="AA377" s="666"/>
      <c r="AB377" s="666"/>
      <c r="AC377" s="666"/>
      <c r="AD377" s="666"/>
      <c r="AE377" s="666"/>
      <c r="AP377" s="666" t="s">
        <v>1404</v>
      </c>
    </row>
    <row r="378" spans="2:42" ht="47.25">
      <c r="B378" s="193">
        <f t="shared" ref="B378:B383" si="114">B377+0.1</f>
        <v>1.4000000000000001</v>
      </c>
      <c r="C378" s="193" t="s">
        <v>127</v>
      </c>
      <c r="D378" s="347" t="s">
        <v>128</v>
      </c>
      <c r="E378" s="666"/>
      <c r="F378" s="270" t="s">
        <v>966</v>
      </c>
      <c r="G378" s="533"/>
      <c r="H378" s="155">
        <v>14502.04</v>
      </c>
      <c r="I378" s="390"/>
      <c r="J378" s="390"/>
      <c r="K378" s="390"/>
      <c r="L378" s="390"/>
      <c r="M378" s="416">
        <f t="shared" si="110"/>
        <v>14502.04</v>
      </c>
      <c r="N378" s="155">
        <v>14502.04</v>
      </c>
      <c r="O378" s="666"/>
      <c r="P378" s="666"/>
      <c r="Q378" s="666"/>
      <c r="R378" s="666"/>
      <c r="S378" s="152">
        <f t="shared" si="111"/>
        <v>14502.04</v>
      </c>
      <c r="T378" s="381">
        <f t="shared" si="112"/>
        <v>0</v>
      </c>
      <c r="U378" s="666"/>
      <c r="V378" s="666"/>
      <c r="W378" s="666"/>
      <c r="X378" s="666"/>
      <c r="Y378" s="152">
        <f t="shared" si="113"/>
        <v>0</v>
      </c>
      <c r="Z378" s="666"/>
      <c r="AA378" s="666"/>
      <c r="AB378" s="666"/>
      <c r="AC378" s="666"/>
      <c r="AD378" s="666"/>
      <c r="AE378" s="666"/>
      <c r="AP378" s="666"/>
    </row>
    <row r="379" spans="2:42" ht="47.25">
      <c r="B379" s="193">
        <f t="shared" si="114"/>
        <v>1.5000000000000002</v>
      </c>
      <c r="C379" s="193" t="s">
        <v>127</v>
      </c>
      <c r="D379" s="347" t="s">
        <v>129</v>
      </c>
      <c r="E379" s="666"/>
      <c r="F379" s="270" t="s">
        <v>966</v>
      </c>
      <c r="G379" s="533"/>
      <c r="H379" s="155">
        <v>18214.53</v>
      </c>
      <c r="I379" s="390"/>
      <c r="J379" s="390"/>
      <c r="K379" s="390"/>
      <c r="L379" s="390"/>
      <c r="M379" s="416">
        <f t="shared" si="110"/>
        <v>18214.53</v>
      </c>
      <c r="N379" s="155">
        <v>18214.53</v>
      </c>
      <c r="O379" s="666"/>
      <c r="P379" s="666"/>
      <c r="Q379" s="666"/>
      <c r="R379" s="666"/>
      <c r="S379" s="152">
        <f t="shared" si="111"/>
        <v>18214.53</v>
      </c>
      <c r="T379" s="381">
        <f t="shared" si="112"/>
        <v>0</v>
      </c>
      <c r="U379" s="666"/>
      <c r="V379" s="666"/>
      <c r="W379" s="666"/>
      <c r="X379" s="666"/>
      <c r="Y379" s="152">
        <f t="shared" si="113"/>
        <v>0</v>
      </c>
      <c r="Z379" s="666"/>
      <c r="AA379" s="666"/>
      <c r="AB379" s="666"/>
      <c r="AC379" s="666"/>
      <c r="AD379" s="666"/>
      <c r="AE379" s="666"/>
      <c r="AP379" s="666"/>
    </row>
    <row r="380" spans="2:42" ht="30">
      <c r="B380" s="193">
        <f t="shared" si="114"/>
        <v>1.6000000000000003</v>
      </c>
      <c r="C380" s="428" t="s">
        <v>130</v>
      </c>
      <c r="D380" s="347" t="s">
        <v>131</v>
      </c>
      <c r="E380" s="666"/>
      <c r="F380" s="390"/>
      <c r="G380" s="761"/>
      <c r="H380" s="155">
        <v>192818.91</v>
      </c>
      <c r="I380" s="390"/>
      <c r="J380" s="390"/>
      <c r="K380" s="390"/>
      <c r="L380" s="390"/>
      <c r="M380" s="416">
        <f t="shared" si="110"/>
        <v>192818.91</v>
      </c>
      <c r="N380" s="155">
        <f>94821.61+81781.51+16215.79</f>
        <v>192818.91</v>
      </c>
      <c r="O380" s="666"/>
      <c r="P380" s="666"/>
      <c r="Q380" s="666"/>
      <c r="R380" s="666"/>
      <c r="S380" s="152">
        <f t="shared" si="111"/>
        <v>192818.91</v>
      </c>
      <c r="T380" s="381">
        <f t="shared" si="112"/>
        <v>0</v>
      </c>
      <c r="U380" s="666"/>
      <c r="V380" s="666"/>
      <c r="W380" s="666"/>
      <c r="X380" s="666"/>
      <c r="Y380" s="152">
        <f t="shared" si="113"/>
        <v>0</v>
      </c>
      <c r="Z380" s="666"/>
      <c r="AA380" s="666"/>
      <c r="AB380" s="666"/>
      <c r="AC380" s="666"/>
      <c r="AD380" s="666"/>
      <c r="AE380" s="666"/>
      <c r="AP380" s="666"/>
    </row>
    <row r="381" spans="2:42" ht="30">
      <c r="B381" s="193">
        <f t="shared" si="114"/>
        <v>1.7000000000000004</v>
      </c>
      <c r="C381" s="193" t="s">
        <v>130</v>
      </c>
      <c r="D381" s="347" t="s">
        <v>132</v>
      </c>
      <c r="E381" s="666"/>
      <c r="F381" s="390"/>
      <c r="G381" s="761"/>
      <c r="H381" s="170">
        <v>81404.92</v>
      </c>
      <c r="I381" s="390"/>
      <c r="J381" s="390"/>
      <c r="K381" s="390"/>
      <c r="L381" s="390"/>
      <c r="M381" s="416">
        <f t="shared" si="110"/>
        <v>81404.92</v>
      </c>
      <c r="N381" s="170">
        <f>24175.03+57229.89</f>
        <v>81404.92</v>
      </c>
      <c r="O381" s="666"/>
      <c r="P381" s="666"/>
      <c r="Q381" s="666"/>
      <c r="R381" s="666"/>
      <c r="S381" s="152">
        <f t="shared" si="111"/>
        <v>81404.92</v>
      </c>
      <c r="T381" s="381">
        <f t="shared" si="112"/>
        <v>0</v>
      </c>
      <c r="U381" s="666"/>
      <c r="V381" s="666"/>
      <c r="W381" s="666"/>
      <c r="X381" s="666"/>
      <c r="Y381" s="152">
        <f t="shared" si="113"/>
        <v>0</v>
      </c>
      <c r="Z381" s="666"/>
      <c r="AA381" s="666"/>
      <c r="AB381" s="666"/>
      <c r="AC381" s="666"/>
      <c r="AD381" s="666"/>
      <c r="AE381" s="666"/>
      <c r="AP381" s="666"/>
    </row>
    <row r="382" spans="2:42" ht="47.25">
      <c r="B382" s="193">
        <f t="shared" si="114"/>
        <v>1.8000000000000005</v>
      </c>
      <c r="C382" s="193" t="s">
        <v>127</v>
      </c>
      <c r="D382" s="347" t="s">
        <v>133</v>
      </c>
      <c r="E382" s="666"/>
      <c r="F382" s="270" t="s">
        <v>966</v>
      </c>
      <c r="G382" s="533"/>
      <c r="H382" s="170">
        <v>16703.98</v>
      </c>
      <c r="I382" s="390"/>
      <c r="J382" s="390"/>
      <c r="K382" s="390"/>
      <c r="L382" s="390"/>
      <c r="M382" s="416">
        <f t="shared" si="110"/>
        <v>16703.98</v>
      </c>
      <c r="N382" s="170">
        <v>16703.98</v>
      </c>
      <c r="O382" s="666"/>
      <c r="P382" s="666"/>
      <c r="Q382" s="666"/>
      <c r="R382" s="666"/>
      <c r="S382" s="152">
        <f t="shared" si="111"/>
        <v>16703.98</v>
      </c>
      <c r="T382" s="381">
        <f t="shared" si="112"/>
        <v>0</v>
      </c>
      <c r="U382" s="666"/>
      <c r="V382" s="666"/>
      <c r="W382" s="666"/>
      <c r="X382" s="666"/>
      <c r="Y382" s="152">
        <f t="shared" si="113"/>
        <v>0</v>
      </c>
      <c r="Z382" s="666"/>
      <c r="AA382" s="666"/>
      <c r="AB382" s="666"/>
      <c r="AC382" s="666"/>
      <c r="AD382" s="666"/>
      <c r="AE382" s="666"/>
      <c r="AP382" s="666"/>
    </row>
    <row r="383" spans="2:42" ht="45">
      <c r="B383" s="193">
        <f t="shared" si="114"/>
        <v>1.9000000000000006</v>
      </c>
      <c r="C383" s="193" t="s">
        <v>130</v>
      </c>
      <c r="D383" s="347" t="s">
        <v>134</v>
      </c>
      <c r="E383" s="666"/>
      <c r="F383" s="390"/>
      <c r="G383" s="761"/>
      <c r="H383" s="155">
        <v>130598.95</v>
      </c>
      <c r="I383" s="390"/>
      <c r="J383" s="390"/>
      <c r="K383" s="390"/>
      <c r="L383" s="390"/>
      <c r="M383" s="416">
        <f t="shared" si="110"/>
        <v>130598.95</v>
      </c>
      <c r="N383" s="155">
        <f>54418.37+36746.37+39434.21</f>
        <v>130598.95000000001</v>
      </c>
      <c r="O383" s="666"/>
      <c r="P383" s="666"/>
      <c r="Q383" s="666"/>
      <c r="R383" s="666"/>
      <c r="S383" s="152">
        <f t="shared" si="111"/>
        <v>130598.95000000001</v>
      </c>
      <c r="T383" s="381">
        <f t="shared" si="112"/>
        <v>0</v>
      </c>
      <c r="U383" s="666"/>
      <c r="V383" s="666"/>
      <c r="W383" s="666"/>
      <c r="X383" s="666"/>
      <c r="Y383" s="152">
        <f t="shared" si="113"/>
        <v>0</v>
      </c>
      <c r="Z383" s="666"/>
      <c r="AA383" s="666"/>
      <c r="AB383" s="666"/>
      <c r="AC383" s="666"/>
      <c r="AD383" s="666"/>
      <c r="AE383" s="666"/>
      <c r="AP383" s="666"/>
    </row>
    <row r="384" spans="2:42" ht="47.25">
      <c r="B384" s="348" t="s">
        <v>729</v>
      </c>
      <c r="C384" s="193" t="s">
        <v>127</v>
      </c>
      <c r="D384" s="347" t="s">
        <v>135</v>
      </c>
      <c r="E384" s="666"/>
      <c r="F384" s="270" t="s">
        <v>966</v>
      </c>
      <c r="G384" s="533"/>
      <c r="H384" s="170">
        <v>18662.740000000002</v>
      </c>
      <c r="I384" s="390"/>
      <c r="J384" s="390"/>
      <c r="K384" s="390"/>
      <c r="L384" s="390"/>
      <c r="M384" s="416">
        <f t="shared" si="110"/>
        <v>18662.740000000002</v>
      </c>
      <c r="N384" s="170">
        <v>18662.740000000002</v>
      </c>
      <c r="O384" s="666"/>
      <c r="P384" s="666"/>
      <c r="Q384" s="666"/>
      <c r="R384" s="666"/>
      <c r="S384" s="152">
        <f t="shared" si="111"/>
        <v>18662.740000000002</v>
      </c>
      <c r="T384" s="381">
        <f t="shared" si="112"/>
        <v>0</v>
      </c>
      <c r="U384" s="666"/>
      <c r="V384" s="666"/>
      <c r="W384" s="666"/>
      <c r="X384" s="666"/>
      <c r="Y384" s="152">
        <f t="shared" si="113"/>
        <v>0</v>
      </c>
      <c r="Z384" s="666"/>
      <c r="AA384" s="666"/>
      <c r="AB384" s="666"/>
      <c r="AC384" s="666"/>
      <c r="AD384" s="666"/>
      <c r="AE384" s="666"/>
      <c r="AP384" s="666"/>
    </row>
    <row r="385" spans="2:42" ht="30">
      <c r="B385" s="193">
        <v>1.1100000000000001</v>
      </c>
      <c r="C385" s="193" t="s">
        <v>130</v>
      </c>
      <c r="D385" s="347" t="s">
        <v>136</v>
      </c>
      <c r="E385" s="666"/>
      <c r="F385" s="390"/>
      <c r="G385" s="761"/>
      <c r="H385" s="170">
        <v>254594.93</v>
      </c>
      <c r="I385" s="390"/>
      <c r="J385" s="390"/>
      <c r="K385" s="390"/>
      <c r="L385" s="390"/>
      <c r="M385" s="416">
        <f t="shared" si="110"/>
        <v>254594.93</v>
      </c>
      <c r="N385" s="170">
        <f>20891.74+178489.71+55213.48</f>
        <v>254594.93</v>
      </c>
      <c r="O385" s="666"/>
      <c r="P385" s="666"/>
      <c r="Q385" s="666"/>
      <c r="R385" s="666"/>
      <c r="S385" s="152">
        <f t="shared" si="111"/>
        <v>254594.93</v>
      </c>
      <c r="T385" s="381">
        <f>+H385-N385</f>
        <v>0</v>
      </c>
      <c r="U385" s="666"/>
      <c r="V385" s="666"/>
      <c r="W385" s="666"/>
      <c r="X385" s="666"/>
      <c r="Y385" s="152">
        <f t="shared" si="113"/>
        <v>0</v>
      </c>
      <c r="Z385" s="666"/>
      <c r="AA385" s="666"/>
      <c r="AB385" s="666"/>
      <c r="AC385" s="666"/>
      <c r="AD385" s="666"/>
      <c r="AE385" s="666"/>
      <c r="AP385" s="666"/>
    </row>
    <row r="386" spans="2:42" ht="30">
      <c r="B386" s="193">
        <f>B385+0.01</f>
        <v>1.1200000000000001</v>
      </c>
      <c r="C386" s="157" t="s">
        <v>137</v>
      </c>
      <c r="D386" s="158" t="s">
        <v>138</v>
      </c>
      <c r="E386" s="666"/>
      <c r="F386" s="390"/>
      <c r="G386" s="761"/>
      <c r="H386" s="170">
        <v>104492.08000000007</v>
      </c>
      <c r="I386" s="390"/>
      <c r="J386" s="390"/>
      <c r="K386" s="390"/>
      <c r="L386" s="390"/>
      <c r="M386" s="416">
        <f t="shared" si="110"/>
        <v>104492.08000000007</v>
      </c>
      <c r="N386" s="170">
        <v>104492.08</v>
      </c>
      <c r="O386" s="666"/>
      <c r="P386" s="666"/>
      <c r="Q386" s="666"/>
      <c r="R386" s="666"/>
      <c r="S386" s="152">
        <f t="shared" si="111"/>
        <v>104492.08</v>
      </c>
      <c r="T386" s="381">
        <f>+H386-N386</f>
        <v>0</v>
      </c>
      <c r="U386" s="666"/>
      <c r="V386" s="666"/>
      <c r="W386" s="666"/>
      <c r="X386" s="666"/>
      <c r="Y386" s="205">
        <f t="shared" si="113"/>
        <v>0</v>
      </c>
      <c r="Z386" s="666"/>
      <c r="AA386" s="666"/>
      <c r="AB386" s="666"/>
      <c r="AC386" s="666"/>
      <c r="AD386" s="666"/>
      <c r="AE386" s="666"/>
      <c r="AP386" s="666"/>
    </row>
    <row r="387" spans="2:42" ht="30">
      <c r="B387" s="193">
        <f t="shared" ref="B387:B393" si="115">B386+0.01</f>
        <v>1.1300000000000001</v>
      </c>
      <c r="C387" s="157" t="s">
        <v>139</v>
      </c>
      <c r="D387" s="158" t="s">
        <v>140</v>
      </c>
      <c r="E387" s="666"/>
      <c r="F387" s="390"/>
      <c r="G387" s="761"/>
      <c r="H387" s="155">
        <v>37681.450000000012</v>
      </c>
      <c r="I387" s="390"/>
      <c r="J387" s="390"/>
      <c r="K387" s="390"/>
      <c r="L387" s="390"/>
      <c r="M387" s="416">
        <f t="shared" si="110"/>
        <v>37681.450000000012</v>
      </c>
      <c r="N387" s="155">
        <v>37681.449999999997</v>
      </c>
      <c r="O387" s="666"/>
      <c r="P387" s="666"/>
      <c r="Q387" s="666"/>
      <c r="R387" s="666"/>
      <c r="S387" s="152">
        <f t="shared" si="111"/>
        <v>37681.449999999997</v>
      </c>
      <c r="T387" s="381">
        <f t="shared" ref="T387:T413" si="116">+H387-N387</f>
        <v>0</v>
      </c>
      <c r="U387" s="666"/>
      <c r="V387" s="666"/>
      <c r="W387" s="666"/>
      <c r="X387" s="666"/>
      <c r="Y387" s="205">
        <f t="shared" si="113"/>
        <v>0</v>
      </c>
      <c r="Z387" s="666"/>
      <c r="AA387" s="666"/>
      <c r="AB387" s="666"/>
      <c r="AC387" s="666"/>
      <c r="AD387" s="666"/>
      <c r="AE387" s="666"/>
      <c r="AP387" s="666"/>
    </row>
    <row r="388" spans="2:42" ht="30">
      <c r="B388" s="193">
        <f t="shared" si="115"/>
        <v>1.1400000000000001</v>
      </c>
      <c r="C388" s="492" t="s">
        <v>141</v>
      </c>
      <c r="D388" s="158" t="s">
        <v>142</v>
      </c>
      <c r="E388" s="666"/>
      <c r="F388" s="390"/>
      <c r="G388" s="761"/>
      <c r="H388" s="155">
        <v>30107.8</v>
      </c>
      <c r="I388" s="390"/>
      <c r="J388" s="390"/>
      <c r="K388" s="390"/>
      <c r="L388" s="390"/>
      <c r="M388" s="416">
        <f t="shared" si="110"/>
        <v>30107.8</v>
      </c>
      <c r="N388" s="155">
        <v>30107.8</v>
      </c>
      <c r="O388" s="666"/>
      <c r="P388" s="666"/>
      <c r="Q388" s="666"/>
      <c r="R388" s="666"/>
      <c r="S388" s="152">
        <f t="shared" si="111"/>
        <v>30107.8</v>
      </c>
      <c r="T388" s="381">
        <f t="shared" si="116"/>
        <v>0</v>
      </c>
      <c r="U388" s="666"/>
      <c r="V388" s="666"/>
      <c r="W388" s="666"/>
      <c r="X388" s="666"/>
      <c r="Y388" s="205">
        <f t="shared" si="113"/>
        <v>0</v>
      </c>
      <c r="Z388" s="666"/>
      <c r="AA388" s="666"/>
      <c r="AB388" s="666"/>
      <c r="AC388" s="666"/>
      <c r="AD388" s="666"/>
      <c r="AE388" s="666"/>
      <c r="AP388" s="666"/>
    </row>
    <row r="389" spans="2:42" ht="30">
      <c r="B389" s="193">
        <f t="shared" si="115"/>
        <v>1.1500000000000001</v>
      </c>
      <c r="C389" s="492" t="s">
        <v>143</v>
      </c>
      <c r="D389" s="158" t="s">
        <v>144</v>
      </c>
      <c r="E389" s="666"/>
      <c r="F389" s="390"/>
      <c r="G389" s="761"/>
      <c r="H389" s="155">
        <v>17124.23</v>
      </c>
      <c r="I389" s="390"/>
      <c r="J389" s="390"/>
      <c r="K389" s="390"/>
      <c r="L389" s="390"/>
      <c r="M389" s="416">
        <f t="shared" si="110"/>
        <v>17124.23</v>
      </c>
      <c r="N389" s="155">
        <v>17124.23</v>
      </c>
      <c r="O389" s="666"/>
      <c r="P389" s="666"/>
      <c r="Q389" s="666"/>
      <c r="R389" s="666"/>
      <c r="S389" s="152">
        <f t="shared" si="111"/>
        <v>17124.23</v>
      </c>
      <c r="T389" s="381">
        <f t="shared" si="116"/>
        <v>0</v>
      </c>
      <c r="U389" s="666"/>
      <c r="V389" s="666"/>
      <c r="W389" s="666"/>
      <c r="X389" s="666"/>
      <c r="Y389" s="205">
        <f t="shared" si="113"/>
        <v>0</v>
      </c>
      <c r="Z389" s="666"/>
      <c r="AA389" s="666"/>
      <c r="AB389" s="666"/>
      <c r="AC389" s="666"/>
      <c r="AD389" s="666"/>
      <c r="AE389" s="666"/>
      <c r="AP389" s="666"/>
    </row>
    <row r="390" spans="2:42" ht="45">
      <c r="B390" s="492">
        <f t="shared" si="115"/>
        <v>1.1600000000000001</v>
      </c>
      <c r="C390" s="492" t="s">
        <v>145</v>
      </c>
      <c r="D390" s="158" t="s">
        <v>146</v>
      </c>
      <c r="E390" s="666"/>
      <c r="F390" s="390"/>
      <c r="G390" s="761"/>
      <c r="H390" s="155">
        <v>121433.04</v>
      </c>
      <c r="I390" s="390"/>
      <c r="J390" s="390"/>
      <c r="K390" s="390"/>
      <c r="L390" s="390"/>
      <c r="M390" s="416">
        <f t="shared" si="110"/>
        <v>121433.04</v>
      </c>
      <c r="N390" s="155">
        <v>121433.04</v>
      </c>
      <c r="O390" s="666"/>
      <c r="P390" s="666"/>
      <c r="Q390" s="666"/>
      <c r="R390" s="666"/>
      <c r="S390" s="152">
        <f t="shared" si="111"/>
        <v>121433.04</v>
      </c>
      <c r="T390" s="381">
        <f t="shared" si="116"/>
        <v>0</v>
      </c>
      <c r="U390" s="666"/>
      <c r="V390" s="666"/>
      <c r="W390" s="666"/>
      <c r="X390" s="666"/>
      <c r="Y390" s="205">
        <f t="shared" si="113"/>
        <v>0</v>
      </c>
      <c r="Z390" s="666"/>
      <c r="AA390" s="666"/>
      <c r="AB390" s="666"/>
      <c r="AC390" s="666"/>
      <c r="AD390" s="666"/>
      <c r="AE390" s="666"/>
      <c r="AP390" s="666"/>
    </row>
    <row r="391" spans="2:42" ht="30">
      <c r="B391" s="492">
        <f t="shared" si="115"/>
        <v>1.1700000000000002</v>
      </c>
      <c r="C391" s="492" t="s">
        <v>147</v>
      </c>
      <c r="D391" s="158" t="s">
        <v>148</v>
      </c>
      <c r="E391" s="666"/>
      <c r="F391" s="390"/>
      <c r="G391" s="761"/>
      <c r="H391" s="155">
        <v>182792.71</v>
      </c>
      <c r="I391" s="390"/>
      <c r="J391" s="390"/>
      <c r="K391" s="390"/>
      <c r="L391" s="390"/>
      <c r="M391" s="416">
        <f t="shared" si="110"/>
        <v>182792.71</v>
      </c>
      <c r="N391" s="155">
        <f>461.77+3888.69+178442.25</f>
        <v>182792.71</v>
      </c>
      <c r="O391" s="666"/>
      <c r="P391" s="666"/>
      <c r="Q391" s="666"/>
      <c r="R391" s="666"/>
      <c r="S391" s="152">
        <f t="shared" si="111"/>
        <v>182792.71</v>
      </c>
      <c r="T391" s="381">
        <f t="shared" si="116"/>
        <v>0</v>
      </c>
      <c r="U391" s="666"/>
      <c r="V391" s="666"/>
      <c r="W391" s="666"/>
      <c r="X391" s="666"/>
      <c r="Y391" s="205">
        <f t="shared" si="113"/>
        <v>0</v>
      </c>
      <c r="Z391" s="666"/>
      <c r="AA391" s="666"/>
      <c r="AB391" s="666"/>
      <c r="AC391" s="666"/>
      <c r="AD391" s="666"/>
      <c r="AE391" s="666"/>
      <c r="AP391" s="666"/>
    </row>
    <row r="392" spans="2:42" ht="30">
      <c r="B392" s="492">
        <f t="shared" si="115"/>
        <v>1.1800000000000002</v>
      </c>
      <c r="C392" s="492" t="s">
        <v>149</v>
      </c>
      <c r="D392" s="158" t="s">
        <v>150</v>
      </c>
      <c r="E392" s="666"/>
      <c r="F392" s="390"/>
      <c r="G392" s="761"/>
      <c r="H392" s="155">
        <v>26801.52</v>
      </c>
      <c r="I392" s="390"/>
      <c r="J392" s="390"/>
      <c r="K392" s="390"/>
      <c r="L392" s="390"/>
      <c r="M392" s="416">
        <f t="shared" si="110"/>
        <v>26801.52</v>
      </c>
      <c r="N392" s="155">
        <v>26801.52</v>
      </c>
      <c r="O392" s="666"/>
      <c r="P392" s="666"/>
      <c r="Q392" s="666"/>
      <c r="R392" s="666"/>
      <c r="S392" s="152">
        <f t="shared" si="111"/>
        <v>26801.52</v>
      </c>
      <c r="T392" s="381">
        <f t="shared" si="116"/>
        <v>0</v>
      </c>
      <c r="U392" s="666"/>
      <c r="V392" s="666"/>
      <c r="W392" s="666"/>
      <c r="X392" s="666"/>
      <c r="Y392" s="205">
        <f t="shared" si="113"/>
        <v>0</v>
      </c>
      <c r="Z392" s="666"/>
      <c r="AA392" s="666"/>
      <c r="AB392" s="666"/>
      <c r="AC392" s="666"/>
      <c r="AD392" s="666"/>
      <c r="AE392" s="666"/>
      <c r="AP392" s="666"/>
    </row>
    <row r="393" spans="2:42" ht="75">
      <c r="B393" s="193">
        <f t="shared" si="115"/>
        <v>1.1900000000000002</v>
      </c>
      <c r="C393" s="159" t="s">
        <v>151</v>
      </c>
      <c r="D393" s="347" t="s">
        <v>152</v>
      </c>
      <c r="E393" s="672" t="s">
        <v>1411</v>
      </c>
      <c r="F393" s="390"/>
      <c r="G393" s="761"/>
      <c r="H393" s="170">
        <v>92964.830000000075</v>
      </c>
      <c r="I393" s="390"/>
      <c r="J393" s="390"/>
      <c r="K393" s="390"/>
      <c r="L393" s="390"/>
      <c r="M393" s="416">
        <f t="shared" si="110"/>
        <v>92964.830000000075</v>
      </c>
      <c r="N393" s="170">
        <v>92964.82</v>
      </c>
      <c r="O393" s="666"/>
      <c r="P393" s="666"/>
      <c r="Q393" s="666"/>
      <c r="R393" s="666"/>
      <c r="S393" s="152">
        <f t="shared" si="111"/>
        <v>92964.82</v>
      </c>
      <c r="T393" s="381">
        <f t="shared" si="116"/>
        <v>1.0000000067520887E-2</v>
      </c>
      <c r="U393" s="666"/>
      <c r="V393" s="666"/>
      <c r="W393" s="666"/>
      <c r="X393" s="666"/>
      <c r="Y393" s="152">
        <f t="shared" si="113"/>
        <v>1.0000000067520887E-2</v>
      </c>
      <c r="Z393" s="420">
        <f>1294919.25+102496.76+119582.85</f>
        <v>1516998.86</v>
      </c>
      <c r="AA393" s="420">
        <v>143601.60000000001</v>
      </c>
      <c r="AB393" s="420">
        <v>136195.66</v>
      </c>
      <c r="AC393" s="420">
        <v>1100000</v>
      </c>
      <c r="AD393" s="420">
        <v>0</v>
      </c>
      <c r="AE393" s="420">
        <f>SUM(Z393:AD393)</f>
        <v>2896796.12</v>
      </c>
      <c r="AP393" s="666"/>
    </row>
    <row r="394" spans="2:42" ht="30">
      <c r="B394" s="348" t="s">
        <v>789</v>
      </c>
      <c r="C394" s="492" t="s">
        <v>153</v>
      </c>
      <c r="D394" s="347" t="s">
        <v>154</v>
      </c>
      <c r="E394" s="666"/>
      <c r="F394" s="390"/>
      <c r="G394" s="761"/>
      <c r="H394" s="170">
        <v>657066.81999999995</v>
      </c>
      <c r="I394" s="390"/>
      <c r="J394" s="390"/>
      <c r="K394" s="390"/>
      <c r="L394" s="390"/>
      <c r="M394" s="416">
        <f t="shared" si="110"/>
        <v>657066.81999999995</v>
      </c>
      <c r="N394" s="170">
        <f>104987.99+145379.76+68881.57+6991.95+126773.18+23656.24+56975.09+54922.58+68498.46</f>
        <v>657066.81999999995</v>
      </c>
      <c r="O394" s="666"/>
      <c r="P394" s="666"/>
      <c r="Q394" s="666"/>
      <c r="R394" s="666"/>
      <c r="S394" s="152">
        <f t="shared" si="111"/>
        <v>657066.81999999995</v>
      </c>
      <c r="T394" s="381">
        <f t="shared" si="116"/>
        <v>0</v>
      </c>
      <c r="U394" s="666"/>
      <c r="V394" s="666"/>
      <c r="W394" s="666"/>
      <c r="X394" s="666"/>
      <c r="Y394" s="205">
        <f t="shared" si="113"/>
        <v>0</v>
      </c>
      <c r="Z394" s="666"/>
      <c r="AA394" s="666"/>
      <c r="AB394" s="666"/>
      <c r="AC394" s="666"/>
      <c r="AD394" s="666"/>
      <c r="AE394" s="666"/>
      <c r="AP394" s="666"/>
    </row>
    <row r="395" spans="2:42" ht="56.25">
      <c r="B395" s="193">
        <v>1.21</v>
      </c>
      <c r="C395" s="492" t="s">
        <v>151</v>
      </c>
      <c r="D395" s="160" t="s">
        <v>155</v>
      </c>
      <c r="E395" s="672" t="s">
        <v>1411</v>
      </c>
      <c r="F395" s="390"/>
      <c r="G395" s="761"/>
      <c r="H395" s="170">
        <v>222079.61</v>
      </c>
      <c r="I395" s="390"/>
      <c r="J395" s="390"/>
      <c r="K395" s="390"/>
      <c r="L395" s="390"/>
      <c r="M395" s="416">
        <f t="shared" si="110"/>
        <v>222079.61</v>
      </c>
      <c r="N395" s="170">
        <v>222079.61</v>
      </c>
      <c r="O395" s="666"/>
      <c r="P395" s="666"/>
      <c r="Q395" s="666"/>
      <c r="R395" s="666"/>
      <c r="S395" s="152">
        <f t="shared" si="111"/>
        <v>222079.61</v>
      </c>
      <c r="T395" s="381">
        <f t="shared" si="116"/>
        <v>0</v>
      </c>
      <c r="U395" s="666"/>
      <c r="V395" s="666"/>
      <c r="W395" s="666"/>
      <c r="X395" s="666"/>
      <c r="Y395" s="152">
        <f t="shared" si="113"/>
        <v>0</v>
      </c>
      <c r="Z395" s="420">
        <f>1294919.25+102496.76+119582.85</f>
        <v>1516998.86</v>
      </c>
      <c r="AA395" s="420">
        <v>143601.60000000001</v>
      </c>
      <c r="AB395" s="420">
        <v>136195.66</v>
      </c>
      <c r="AC395" s="420">
        <v>1100000</v>
      </c>
      <c r="AD395" s="420">
        <v>0</v>
      </c>
      <c r="AE395" s="420">
        <f>SUM(Z395:AD395)</f>
        <v>2896796.12</v>
      </c>
      <c r="AP395" s="666"/>
    </row>
    <row r="396" spans="2:42" ht="45">
      <c r="B396" s="492">
        <f>B395+0.01</f>
        <v>1.22</v>
      </c>
      <c r="C396" s="492" t="s">
        <v>156</v>
      </c>
      <c r="D396" s="158" t="s">
        <v>157</v>
      </c>
      <c r="E396" s="666"/>
      <c r="F396" s="423" t="s">
        <v>847</v>
      </c>
      <c r="G396" s="762"/>
      <c r="H396" s="155">
        <v>944142.12</v>
      </c>
      <c r="I396" s="390"/>
      <c r="J396" s="390"/>
      <c r="K396" s="390"/>
      <c r="L396" s="390"/>
      <c r="M396" s="416">
        <f t="shared" si="110"/>
        <v>944142.12</v>
      </c>
      <c r="N396" s="155">
        <f>172657.69+133405.48+179598.73+240609.73+217870.49</f>
        <v>944142.12</v>
      </c>
      <c r="O396" s="666"/>
      <c r="P396" s="666"/>
      <c r="Q396" s="666"/>
      <c r="R396" s="666"/>
      <c r="S396" s="152">
        <f t="shared" si="111"/>
        <v>944142.12</v>
      </c>
      <c r="T396" s="381">
        <f t="shared" si="116"/>
        <v>0</v>
      </c>
      <c r="U396" s="666"/>
      <c r="V396" s="666"/>
      <c r="W396" s="666"/>
      <c r="X396" s="666"/>
      <c r="Y396" s="152">
        <f t="shared" si="113"/>
        <v>0</v>
      </c>
      <c r="Z396" s="420">
        <f>903744.42+40397.7</f>
        <v>944142.12</v>
      </c>
      <c r="AA396" s="420">
        <v>0</v>
      </c>
      <c r="AB396" s="420">
        <v>0</v>
      </c>
      <c r="AC396" s="420">
        <v>0</v>
      </c>
      <c r="AD396" s="420">
        <v>0</v>
      </c>
      <c r="AE396" s="420">
        <f>SUM(Z396:AD396)</f>
        <v>944142.12</v>
      </c>
      <c r="AP396" s="666"/>
    </row>
    <row r="397" spans="2:42" ht="45">
      <c r="B397" s="492">
        <f t="shared" ref="B397:B456" si="117">B396+0.01</f>
        <v>1.23</v>
      </c>
      <c r="C397" s="492" t="s">
        <v>158</v>
      </c>
      <c r="D397" s="158" t="s">
        <v>159</v>
      </c>
      <c r="E397" s="666"/>
      <c r="F397" s="390"/>
      <c r="G397" s="761"/>
      <c r="H397" s="155">
        <v>95651.11</v>
      </c>
      <c r="I397" s="390"/>
      <c r="J397" s="390"/>
      <c r="K397" s="390"/>
      <c r="L397" s="390"/>
      <c r="M397" s="416">
        <f t="shared" si="110"/>
        <v>95651.11</v>
      </c>
      <c r="N397" s="155">
        <v>95651.11</v>
      </c>
      <c r="O397" s="666"/>
      <c r="P397" s="666"/>
      <c r="Q397" s="666"/>
      <c r="R397" s="666"/>
      <c r="S397" s="152">
        <f t="shared" si="111"/>
        <v>95651.11</v>
      </c>
      <c r="T397" s="381">
        <f t="shared" si="116"/>
        <v>0</v>
      </c>
      <c r="U397" s="666"/>
      <c r="V397" s="666"/>
      <c r="W397" s="666"/>
      <c r="X397" s="666"/>
      <c r="Y397" s="205">
        <f t="shared" si="113"/>
        <v>0</v>
      </c>
      <c r="Z397" s="666"/>
      <c r="AA397" s="666"/>
      <c r="AB397" s="666"/>
      <c r="AC397" s="666"/>
      <c r="AD397" s="666"/>
      <c r="AE397" s="666"/>
      <c r="AP397" s="666"/>
    </row>
    <row r="398" spans="2:42" ht="45">
      <c r="B398" s="193">
        <f t="shared" si="117"/>
        <v>1.24</v>
      </c>
      <c r="C398" s="492" t="s">
        <v>160</v>
      </c>
      <c r="D398" s="158" t="s">
        <v>161</v>
      </c>
      <c r="E398" s="666"/>
      <c r="F398" s="390"/>
      <c r="G398" s="761"/>
      <c r="H398" s="155">
        <f>717922.54-5398.9</f>
        <v>712523.64</v>
      </c>
      <c r="I398" s="390"/>
      <c r="J398" s="390"/>
      <c r="K398" s="390"/>
      <c r="L398" s="390"/>
      <c r="M398" s="416">
        <f t="shared" si="110"/>
        <v>712523.64</v>
      </c>
      <c r="N398" s="170">
        <f>200794.58+163902.77+251577.75+96248.54</f>
        <v>712523.64</v>
      </c>
      <c r="O398" s="666"/>
      <c r="P398" s="666"/>
      <c r="Q398" s="666"/>
      <c r="R398" s="666"/>
      <c r="S398" s="152">
        <f t="shared" si="111"/>
        <v>712523.64</v>
      </c>
      <c r="T398" s="381">
        <f t="shared" si="116"/>
        <v>0</v>
      </c>
      <c r="U398" s="666"/>
      <c r="V398" s="666"/>
      <c r="W398" s="666"/>
      <c r="X398" s="666"/>
      <c r="Y398" s="152">
        <f t="shared" si="113"/>
        <v>0</v>
      </c>
      <c r="Z398" s="666"/>
      <c r="AA398" s="666"/>
      <c r="AB398" s="666"/>
      <c r="AC398" s="666"/>
      <c r="AD398" s="666"/>
      <c r="AE398" s="666"/>
      <c r="AP398" s="666"/>
    </row>
    <row r="399" spans="2:42" ht="45">
      <c r="B399" s="193">
        <f t="shared" si="117"/>
        <v>1.25</v>
      </c>
      <c r="C399" s="216" t="s">
        <v>162</v>
      </c>
      <c r="D399" s="158" t="s">
        <v>163</v>
      </c>
      <c r="E399" s="666"/>
      <c r="F399" s="390"/>
      <c r="G399" s="761"/>
      <c r="H399" s="155">
        <f>668521.45-158394</f>
        <v>510127.44999999995</v>
      </c>
      <c r="I399" s="390"/>
      <c r="J399" s="390"/>
      <c r="K399" s="390"/>
      <c r="L399" s="390"/>
      <c r="M399" s="416">
        <f t="shared" si="110"/>
        <v>510127.44999999995</v>
      </c>
      <c r="N399" s="170">
        <f>76896.98+91637.25+77042.23+184366.5+80184.49</f>
        <v>510127.44999999995</v>
      </c>
      <c r="O399" s="666"/>
      <c r="P399" s="666"/>
      <c r="Q399" s="666"/>
      <c r="R399" s="666"/>
      <c r="S399" s="152">
        <f t="shared" si="111"/>
        <v>510127.44999999995</v>
      </c>
      <c r="T399" s="381">
        <f t="shared" si="116"/>
        <v>0</v>
      </c>
      <c r="U399" s="666"/>
      <c r="V399" s="666"/>
      <c r="W399" s="666"/>
      <c r="X399" s="666"/>
      <c r="Y399" s="152">
        <f t="shared" si="113"/>
        <v>0</v>
      </c>
      <c r="Z399" s="666"/>
      <c r="AA399" s="666"/>
      <c r="AB399" s="666"/>
      <c r="AC399" s="666"/>
      <c r="AD399" s="666"/>
      <c r="AE399" s="666"/>
      <c r="AP399" s="666"/>
    </row>
    <row r="400" spans="2:42" ht="45">
      <c r="B400" s="193">
        <f t="shared" si="117"/>
        <v>1.26</v>
      </c>
      <c r="C400" s="161" t="s">
        <v>164</v>
      </c>
      <c r="D400" s="158" t="s">
        <v>165</v>
      </c>
      <c r="E400" s="666"/>
      <c r="F400" s="390"/>
      <c r="G400" s="761"/>
      <c r="H400" s="170">
        <f>1200000-114774.81</f>
        <v>1085225.19</v>
      </c>
      <c r="I400" s="390"/>
      <c r="J400" s="390"/>
      <c r="K400" s="390"/>
      <c r="L400" s="390"/>
      <c r="M400" s="416">
        <f t="shared" si="110"/>
        <v>1085225.19</v>
      </c>
      <c r="N400" s="170">
        <f>85858.77+309026.13+211669.36+193361.32+101515.44</f>
        <v>901431.02</v>
      </c>
      <c r="O400" s="666"/>
      <c r="P400" s="666"/>
      <c r="Q400" s="666"/>
      <c r="R400" s="666"/>
      <c r="S400" s="152">
        <f t="shared" si="111"/>
        <v>901431.02</v>
      </c>
      <c r="T400" s="170">
        <f t="shared" si="116"/>
        <v>183794.16999999993</v>
      </c>
      <c r="U400" s="666"/>
      <c r="V400" s="666"/>
      <c r="W400" s="666"/>
      <c r="X400" s="666"/>
      <c r="Y400" s="152">
        <f t="shared" si="113"/>
        <v>183794.16999999993</v>
      </c>
      <c r="Z400" s="666"/>
      <c r="AA400" s="666"/>
      <c r="AB400" s="666"/>
      <c r="AC400" s="666"/>
      <c r="AD400" s="666"/>
      <c r="AE400" s="666"/>
      <c r="AP400" s="666" t="s">
        <v>1404</v>
      </c>
    </row>
    <row r="401" spans="2:42" ht="45">
      <c r="B401" s="349">
        <f t="shared" si="117"/>
        <v>1.27</v>
      </c>
      <c r="C401" s="162" t="s">
        <v>166</v>
      </c>
      <c r="D401" s="158" t="s">
        <v>167</v>
      </c>
      <c r="E401" s="666"/>
      <c r="F401" s="390"/>
      <c r="G401" s="761"/>
      <c r="H401" s="155">
        <f>374387.8+18729.22</f>
        <v>393117.02</v>
      </c>
      <c r="I401" s="390"/>
      <c r="J401" s="390"/>
      <c r="K401" s="390"/>
      <c r="L401" s="390"/>
      <c r="M401" s="416">
        <f t="shared" si="110"/>
        <v>393117.02</v>
      </c>
      <c r="N401" s="170">
        <v>393117.03</v>
      </c>
      <c r="O401" s="666"/>
      <c r="P401" s="666"/>
      <c r="Q401" s="666"/>
      <c r="R401" s="666"/>
      <c r="S401" s="152">
        <f t="shared" si="111"/>
        <v>393117.03</v>
      </c>
      <c r="T401" s="170">
        <f t="shared" si="116"/>
        <v>-1.0000000009313226E-2</v>
      </c>
      <c r="U401" s="666"/>
      <c r="V401" s="666"/>
      <c r="W401" s="666"/>
      <c r="X401" s="666"/>
      <c r="Y401" s="152">
        <f t="shared" si="113"/>
        <v>-1.0000000009313226E-2</v>
      </c>
      <c r="Z401" s="666"/>
      <c r="AA401" s="666"/>
      <c r="AB401" s="666"/>
      <c r="AC401" s="666"/>
      <c r="AD401" s="666"/>
      <c r="AE401" s="666"/>
      <c r="AP401" s="666"/>
    </row>
    <row r="402" spans="2:42" ht="45.75">
      <c r="B402" s="349">
        <f t="shared" si="117"/>
        <v>1.28</v>
      </c>
      <c r="C402" s="162" t="s">
        <v>168</v>
      </c>
      <c r="D402" s="158" t="s">
        <v>169</v>
      </c>
      <c r="E402" s="666"/>
      <c r="F402" s="390"/>
      <c r="G402" s="761"/>
      <c r="H402" s="170">
        <v>196887.4</v>
      </c>
      <c r="I402" s="390"/>
      <c r="J402" s="390"/>
      <c r="K402" s="390"/>
      <c r="L402" s="390"/>
      <c r="M402" s="416">
        <f t="shared" si="110"/>
        <v>196887.4</v>
      </c>
      <c r="N402" s="170">
        <v>194486.78</v>
      </c>
      <c r="O402" s="666"/>
      <c r="P402" s="666"/>
      <c r="Q402" s="666"/>
      <c r="R402" s="666"/>
      <c r="S402" s="152">
        <f t="shared" si="111"/>
        <v>194486.78</v>
      </c>
      <c r="T402" s="170">
        <f t="shared" si="116"/>
        <v>2400.6199999999953</v>
      </c>
      <c r="U402" s="666"/>
      <c r="V402" s="666"/>
      <c r="W402" s="666"/>
      <c r="X402" s="666"/>
      <c r="Y402" s="152">
        <f t="shared" si="113"/>
        <v>2400.6199999999953</v>
      </c>
      <c r="Z402" s="666"/>
      <c r="AA402" s="666"/>
      <c r="AB402" s="666"/>
      <c r="AC402" s="666"/>
      <c r="AD402" s="666"/>
      <c r="AE402" s="666"/>
      <c r="AP402" s="666"/>
    </row>
    <row r="403" spans="2:42" ht="45">
      <c r="B403" s="193">
        <f t="shared" si="117"/>
        <v>1.29</v>
      </c>
      <c r="C403" s="492" t="s">
        <v>170</v>
      </c>
      <c r="D403" s="163" t="s">
        <v>171</v>
      </c>
      <c r="E403" s="666"/>
      <c r="F403" s="390"/>
      <c r="G403" s="761"/>
      <c r="H403" s="170">
        <f>32504.9899999999-14577.63</f>
        <v>17927.359999999899</v>
      </c>
      <c r="I403" s="390"/>
      <c r="J403" s="390"/>
      <c r="K403" s="390"/>
      <c r="L403" s="390"/>
      <c r="M403" s="416">
        <f t="shared" si="110"/>
        <v>17927.359999999899</v>
      </c>
      <c r="N403" s="170">
        <v>0</v>
      </c>
      <c r="O403" s="666"/>
      <c r="P403" s="666"/>
      <c r="Q403" s="666"/>
      <c r="R403" s="666"/>
      <c r="S403" s="152">
        <f t="shared" si="111"/>
        <v>0</v>
      </c>
      <c r="T403" s="170">
        <f t="shared" si="116"/>
        <v>17927.359999999899</v>
      </c>
      <c r="U403" s="666"/>
      <c r="V403" s="666"/>
      <c r="W403" s="666"/>
      <c r="X403" s="666"/>
      <c r="Y403" s="152">
        <f t="shared" si="113"/>
        <v>17927.359999999899</v>
      </c>
      <c r="Z403" s="666"/>
      <c r="AA403" s="666"/>
      <c r="AB403" s="666"/>
      <c r="AC403" s="666"/>
      <c r="AD403" s="666"/>
      <c r="AE403" s="666"/>
      <c r="AP403" s="666" t="s">
        <v>1404</v>
      </c>
    </row>
    <row r="404" spans="2:42" ht="60">
      <c r="B404" s="348" t="s">
        <v>790</v>
      </c>
      <c r="C404" s="492" t="s">
        <v>172</v>
      </c>
      <c r="D404" s="171" t="s">
        <v>173</v>
      </c>
      <c r="E404" s="666"/>
      <c r="F404" s="390"/>
      <c r="G404" s="761"/>
      <c r="H404" s="170">
        <v>81597.13</v>
      </c>
      <c r="I404" s="390"/>
      <c r="J404" s="390"/>
      <c r="K404" s="390"/>
      <c r="L404" s="390"/>
      <c r="M404" s="416">
        <f t="shared" si="110"/>
        <v>81597.13</v>
      </c>
      <c r="N404" s="170">
        <f>64340.87+17256.26</f>
        <v>81597.13</v>
      </c>
      <c r="O404" s="666"/>
      <c r="P404" s="666"/>
      <c r="Q404" s="666"/>
      <c r="R404" s="666"/>
      <c r="S404" s="152">
        <f t="shared" si="111"/>
        <v>81597.13</v>
      </c>
      <c r="T404" s="381">
        <f t="shared" si="116"/>
        <v>0</v>
      </c>
      <c r="U404" s="666"/>
      <c r="V404" s="666"/>
      <c r="W404" s="666"/>
      <c r="X404" s="666"/>
      <c r="Y404" s="152">
        <f t="shared" si="113"/>
        <v>0</v>
      </c>
      <c r="Z404" s="666"/>
      <c r="AA404" s="666"/>
      <c r="AB404" s="666"/>
      <c r="AC404" s="666"/>
      <c r="AD404" s="666"/>
      <c r="AE404" s="666"/>
      <c r="AP404" s="666"/>
    </row>
    <row r="405" spans="2:42" ht="75">
      <c r="B405" s="193">
        <v>1.31</v>
      </c>
      <c r="C405" s="492" t="s">
        <v>174</v>
      </c>
      <c r="D405" s="171" t="s">
        <v>175</v>
      </c>
      <c r="E405" s="666"/>
      <c r="F405" s="564" t="s">
        <v>892</v>
      </c>
      <c r="G405" s="564"/>
      <c r="H405" s="170">
        <f>392387.12+11761.64</f>
        <v>404148.76</v>
      </c>
      <c r="I405" s="390"/>
      <c r="J405" s="390"/>
      <c r="K405" s="390"/>
      <c r="L405" s="390"/>
      <c r="M405" s="416">
        <f t="shared" si="110"/>
        <v>404148.76</v>
      </c>
      <c r="N405" s="170">
        <f>268455+62388.7+73305.06</f>
        <v>404148.76</v>
      </c>
      <c r="O405" s="666"/>
      <c r="P405" s="666"/>
      <c r="Q405" s="666"/>
      <c r="R405" s="666"/>
      <c r="S405" s="170">
        <f t="shared" si="111"/>
        <v>404148.76</v>
      </c>
      <c r="T405" s="381">
        <f t="shared" si="116"/>
        <v>0</v>
      </c>
      <c r="U405" s="666"/>
      <c r="V405" s="666"/>
      <c r="W405" s="666"/>
      <c r="X405" s="666"/>
      <c r="Y405" s="420">
        <f t="shared" si="113"/>
        <v>0</v>
      </c>
      <c r="Z405" s="420">
        <f>392387.17+5983.56+5778.03</f>
        <v>404148.76</v>
      </c>
      <c r="AA405" s="420">
        <v>0</v>
      </c>
      <c r="AB405" s="420">
        <v>0</v>
      </c>
      <c r="AC405" s="420">
        <v>0</v>
      </c>
      <c r="AD405" s="420">
        <v>0</v>
      </c>
      <c r="AE405" s="420">
        <f>SUM(Z405:AD405)</f>
        <v>404148.76</v>
      </c>
      <c r="AP405" s="666"/>
    </row>
    <row r="406" spans="2:42" ht="46.5">
      <c r="B406" s="349">
        <f>B405+0.01</f>
        <v>1.32</v>
      </c>
      <c r="C406" s="164" t="s">
        <v>176</v>
      </c>
      <c r="D406" s="171" t="s">
        <v>177</v>
      </c>
      <c r="E406" s="666"/>
      <c r="F406" s="390"/>
      <c r="G406" s="761"/>
      <c r="H406" s="170">
        <v>113691.72</v>
      </c>
      <c r="I406" s="390"/>
      <c r="J406" s="390"/>
      <c r="K406" s="390"/>
      <c r="L406" s="390"/>
      <c r="M406" s="416">
        <f t="shared" si="110"/>
        <v>113691.72</v>
      </c>
      <c r="N406" s="170">
        <v>106456.45</v>
      </c>
      <c r="O406" s="666"/>
      <c r="P406" s="666"/>
      <c r="Q406" s="666"/>
      <c r="R406" s="666"/>
      <c r="S406" s="152">
        <f t="shared" si="111"/>
        <v>106456.45</v>
      </c>
      <c r="T406" s="170">
        <f t="shared" si="116"/>
        <v>7235.2700000000041</v>
      </c>
      <c r="U406" s="666"/>
      <c r="V406" s="666"/>
      <c r="W406" s="666"/>
      <c r="X406" s="666"/>
      <c r="Y406" s="152">
        <f t="shared" si="113"/>
        <v>7235.2700000000041</v>
      </c>
      <c r="Z406" s="666"/>
      <c r="AA406" s="666"/>
      <c r="AB406" s="666"/>
      <c r="AC406" s="666"/>
      <c r="AD406" s="666"/>
      <c r="AE406" s="666"/>
      <c r="AP406" s="666"/>
    </row>
    <row r="407" spans="2:42" ht="45">
      <c r="B407" s="349">
        <f t="shared" si="117"/>
        <v>1.33</v>
      </c>
      <c r="C407" s="162" t="s">
        <v>178</v>
      </c>
      <c r="D407" s="171" t="s">
        <v>179</v>
      </c>
      <c r="E407" s="666"/>
      <c r="F407" s="390"/>
      <c r="G407" s="761"/>
      <c r="H407" s="155">
        <f>236489.82+13287.77</f>
        <v>249777.59</v>
      </c>
      <c r="I407" s="390"/>
      <c r="J407" s="390"/>
      <c r="K407" s="390"/>
      <c r="L407" s="390"/>
      <c r="M407" s="416">
        <f t="shared" si="110"/>
        <v>249777.59</v>
      </c>
      <c r="N407" s="170">
        <v>249777.59</v>
      </c>
      <c r="O407" s="666"/>
      <c r="P407" s="666"/>
      <c r="Q407" s="666"/>
      <c r="R407" s="666"/>
      <c r="S407" s="152">
        <f t="shared" si="111"/>
        <v>249777.59</v>
      </c>
      <c r="T407" s="170">
        <f t="shared" si="116"/>
        <v>0</v>
      </c>
      <c r="U407" s="666"/>
      <c r="V407" s="666"/>
      <c r="W407" s="666"/>
      <c r="X407" s="666"/>
      <c r="Y407" s="152">
        <f t="shared" si="113"/>
        <v>0</v>
      </c>
      <c r="Z407" s="666"/>
      <c r="AA407" s="666"/>
      <c r="AB407" s="666"/>
      <c r="AC407" s="666"/>
      <c r="AD407" s="666"/>
      <c r="AE407" s="666"/>
      <c r="AP407" s="666"/>
    </row>
    <row r="408" spans="2:42" ht="45">
      <c r="B408" s="349">
        <f t="shared" si="117"/>
        <v>1.34</v>
      </c>
      <c r="C408" s="162" t="s">
        <v>180</v>
      </c>
      <c r="D408" s="171" t="s">
        <v>181</v>
      </c>
      <c r="E408" s="666"/>
      <c r="F408" s="390"/>
      <c r="G408" s="761"/>
      <c r="H408" s="170">
        <v>106117.95999999999</v>
      </c>
      <c r="I408" s="390"/>
      <c r="J408" s="390"/>
      <c r="K408" s="390"/>
      <c r="L408" s="390"/>
      <c r="M408" s="416">
        <f t="shared" si="110"/>
        <v>106117.95999999999</v>
      </c>
      <c r="N408" s="170">
        <v>89742.54</v>
      </c>
      <c r="O408" s="666"/>
      <c r="P408" s="666"/>
      <c r="Q408" s="666"/>
      <c r="R408" s="666"/>
      <c r="S408" s="152">
        <f t="shared" si="111"/>
        <v>89742.54</v>
      </c>
      <c r="T408" s="170">
        <f t="shared" si="116"/>
        <v>16375.419999999998</v>
      </c>
      <c r="U408" s="666"/>
      <c r="V408" s="666"/>
      <c r="W408" s="666"/>
      <c r="X408" s="666"/>
      <c r="Y408" s="152">
        <f t="shared" si="113"/>
        <v>16375.419999999998</v>
      </c>
      <c r="Z408" s="666"/>
      <c r="AA408" s="666"/>
      <c r="AB408" s="666"/>
      <c r="AC408" s="666"/>
      <c r="AD408" s="666"/>
      <c r="AE408" s="666"/>
      <c r="AP408" s="666"/>
    </row>
    <row r="409" spans="2:42" ht="45">
      <c r="B409" s="349">
        <f t="shared" si="117"/>
        <v>1.35</v>
      </c>
      <c r="C409" s="162" t="s">
        <v>182</v>
      </c>
      <c r="D409" s="171" t="s">
        <v>183</v>
      </c>
      <c r="E409" s="666"/>
      <c r="F409" s="390"/>
      <c r="G409" s="761"/>
      <c r="H409" s="170">
        <v>92126.890000000014</v>
      </c>
      <c r="I409" s="390"/>
      <c r="J409" s="390"/>
      <c r="K409" s="390"/>
      <c r="L409" s="390"/>
      <c r="M409" s="416">
        <f t="shared" si="110"/>
        <v>92126.890000000014</v>
      </c>
      <c r="N409" s="170">
        <v>90606.17</v>
      </c>
      <c r="O409" s="666"/>
      <c r="P409" s="666"/>
      <c r="Q409" s="666"/>
      <c r="R409" s="666"/>
      <c r="S409" s="152">
        <f t="shared" si="111"/>
        <v>90606.17</v>
      </c>
      <c r="T409" s="170">
        <f t="shared" si="116"/>
        <v>1520.7200000000157</v>
      </c>
      <c r="U409" s="666"/>
      <c r="V409" s="666"/>
      <c r="W409" s="666"/>
      <c r="X409" s="666"/>
      <c r="Y409" s="152">
        <f t="shared" si="113"/>
        <v>1520.7200000000157</v>
      </c>
      <c r="Z409" s="666"/>
      <c r="AA409" s="666"/>
      <c r="AB409" s="666"/>
      <c r="AC409" s="666"/>
      <c r="AD409" s="666"/>
      <c r="AE409" s="666"/>
      <c r="AP409" s="666"/>
    </row>
    <row r="410" spans="2:42" ht="76.5">
      <c r="B410" s="193">
        <f t="shared" si="117"/>
        <v>1.36</v>
      </c>
      <c r="C410" s="165" t="s">
        <v>184</v>
      </c>
      <c r="D410" s="171" t="s">
        <v>185</v>
      </c>
      <c r="E410" s="666"/>
      <c r="F410" s="564" t="s">
        <v>870</v>
      </c>
      <c r="G410" s="564"/>
      <c r="H410" s="170">
        <v>429983.39</v>
      </c>
      <c r="I410" s="390"/>
      <c r="J410" s="390"/>
      <c r="K410" s="390"/>
      <c r="L410" s="390"/>
      <c r="M410" s="416">
        <f t="shared" si="110"/>
        <v>429983.39</v>
      </c>
      <c r="N410" s="170">
        <f>302681.91+34802.37+79375.33+13123.78</f>
        <v>429983.39</v>
      </c>
      <c r="O410" s="666"/>
      <c r="P410" s="666"/>
      <c r="Q410" s="666"/>
      <c r="R410" s="666"/>
      <c r="S410" s="170">
        <f t="shared" si="111"/>
        <v>429983.39</v>
      </c>
      <c r="T410" s="381">
        <f t="shared" si="116"/>
        <v>0</v>
      </c>
      <c r="U410" s="666"/>
      <c r="V410" s="666"/>
      <c r="W410" s="666"/>
      <c r="X410" s="666"/>
      <c r="Y410" s="170">
        <f t="shared" si="113"/>
        <v>0</v>
      </c>
      <c r="Z410" s="170">
        <f>376736.92+53246.47</f>
        <v>429983.39</v>
      </c>
      <c r="AA410" s="170">
        <v>34459.81</v>
      </c>
      <c r="AB410" s="170">
        <v>0</v>
      </c>
      <c r="AC410" s="170">
        <v>0</v>
      </c>
      <c r="AD410" s="170">
        <v>0</v>
      </c>
      <c r="AE410" s="170">
        <f>SUM(Z410:AD410)</f>
        <v>464443.2</v>
      </c>
      <c r="AP410" s="666"/>
    </row>
    <row r="411" spans="2:42" ht="45">
      <c r="B411" s="193">
        <f t="shared" si="117"/>
        <v>1.37</v>
      </c>
      <c r="C411" s="193" t="s">
        <v>186</v>
      </c>
      <c r="D411" s="160" t="s">
        <v>187</v>
      </c>
      <c r="E411" s="657"/>
      <c r="F411" s="658" t="s">
        <v>1153</v>
      </c>
      <c r="G411" s="564"/>
      <c r="H411" s="170">
        <v>280203.83</v>
      </c>
      <c r="I411" s="390"/>
      <c r="J411" s="390"/>
      <c r="K411" s="390"/>
      <c r="L411" s="390"/>
      <c r="M411" s="416">
        <f t="shared" si="110"/>
        <v>280203.83</v>
      </c>
      <c r="N411" s="170">
        <f>118263.76+59321.89+72870.02</f>
        <v>250455.66999999998</v>
      </c>
      <c r="O411" s="666"/>
      <c r="P411" s="666"/>
      <c r="Q411" s="666"/>
      <c r="R411" s="666"/>
      <c r="S411" s="152">
        <f t="shared" si="111"/>
        <v>250455.66999999998</v>
      </c>
      <c r="T411" s="170">
        <f t="shared" si="116"/>
        <v>29748.160000000033</v>
      </c>
      <c r="U411" s="666"/>
      <c r="V411" s="666"/>
      <c r="W411" s="666"/>
      <c r="X411" s="666"/>
      <c r="Y411" s="152">
        <f t="shared" si="113"/>
        <v>29748.160000000033</v>
      </c>
      <c r="Z411" s="170">
        <v>259241.2</v>
      </c>
      <c r="AA411" s="170">
        <v>20962.63</v>
      </c>
      <c r="AB411" s="170">
        <v>0</v>
      </c>
      <c r="AC411" s="170">
        <v>0</v>
      </c>
      <c r="AD411" s="170">
        <v>0</v>
      </c>
      <c r="AE411" s="170">
        <f>SUM(Z411:AD411)</f>
        <v>280203.83</v>
      </c>
      <c r="AP411" s="666" t="s">
        <v>1404</v>
      </c>
    </row>
    <row r="412" spans="2:42" ht="45.75">
      <c r="B412" s="193">
        <f t="shared" si="117"/>
        <v>1.3800000000000001</v>
      </c>
      <c r="C412" s="492" t="s">
        <v>188</v>
      </c>
      <c r="D412" s="171" t="s">
        <v>189</v>
      </c>
      <c r="E412" s="666"/>
      <c r="F412" s="390"/>
      <c r="G412" s="761"/>
      <c r="H412" s="170">
        <v>347058.09</v>
      </c>
      <c r="I412" s="390"/>
      <c r="J412" s="390"/>
      <c r="K412" s="390"/>
      <c r="L412" s="390"/>
      <c r="M412" s="416">
        <f t="shared" si="110"/>
        <v>347058.09</v>
      </c>
      <c r="N412" s="170">
        <v>310234.78000000003</v>
      </c>
      <c r="O412" s="666"/>
      <c r="P412" s="666"/>
      <c r="Q412" s="666"/>
      <c r="R412" s="666"/>
      <c r="S412" s="152">
        <f t="shared" si="111"/>
        <v>310234.78000000003</v>
      </c>
      <c r="T412" s="170">
        <f t="shared" si="116"/>
        <v>36823.31</v>
      </c>
      <c r="U412" s="666"/>
      <c r="V412" s="666"/>
      <c r="W412" s="666"/>
      <c r="X412" s="666"/>
      <c r="Y412" s="152">
        <f t="shared" si="113"/>
        <v>36823.31</v>
      </c>
      <c r="Z412" s="666"/>
      <c r="AA412" s="666"/>
      <c r="AB412" s="666"/>
      <c r="AC412" s="666"/>
      <c r="AD412" s="666"/>
      <c r="AE412" s="666"/>
      <c r="AP412" s="666" t="s">
        <v>1404</v>
      </c>
    </row>
    <row r="413" spans="2:42" ht="45">
      <c r="B413" s="193">
        <v>1.39</v>
      </c>
      <c r="C413" s="492" t="s">
        <v>191</v>
      </c>
      <c r="D413" s="171" t="s">
        <v>192</v>
      </c>
      <c r="E413" s="666"/>
      <c r="F413" s="390"/>
      <c r="G413" s="761"/>
      <c r="H413" s="170">
        <v>46046.86</v>
      </c>
      <c r="I413" s="390"/>
      <c r="J413" s="390"/>
      <c r="K413" s="390"/>
      <c r="L413" s="390"/>
      <c r="M413" s="416">
        <f t="shared" si="110"/>
        <v>46046.86</v>
      </c>
      <c r="N413" s="170">
        <v>46046.86</v>
      </c>
      <c r="O413" s="666"/>
      <c r="P413" s="666"/>
      <c r="Q413" s="666"/>
      <c r="R413" s="666"/>
      <c r="S413" s="152">
        <f t="shared" si="111"/>
        <v>46046.86</v>
      </c>
      <c r="T413" s="381">
        <f t="shared" si="116"/>
        <v>0</v>
      </c>
      <c r="U413" s="666"/>
      <c r="V413" s="666"/>
      <c r="W413" s="666"/>
      <c r="X413" s="666"/>
      <c r="Y413" s="152">
        <f t="shared" si="113"/>
        <v>0</v>
      </c>
      <c r="Z413" s="666"/>
      <c r="AA413" s="666"/>
      <c r="AB413" s="666"/>
      <c r="AC413" s="666"/>
      <c r="AD413" s="666"/>
      <c r="AE413" s="666"/>
      <c r="AP413" s="666" t="s">
        <v>1407</v>
      </c>
    </row>
    <row r="414" spans="2:42" ht="60">
      <c r="B414" s="348" t="s">
        <v>791</v>
      </c>
      <c r="C414" s="492" t="s">
        <v>193</v>
      </c>
      <c r="D414" s="171" t="s">
        <v>194</v>
      </c>
      <c r="E414" s="666"/>
      <c r="F414" s="390"/>
      <c r="G414" s="761"/>
      <c r="H414" s="170">
        <v>491990.07</v>
      </c>
      <c r="I414" s="390"/>
      <c r="J414" s="390"/>
      <c r="K414" s="390"/>
      <c r="L414" s="390"/>
      <c r="M414" s="416">
        <f t="shared" si="110"/>
        <v>491990.07</v>
      </c>
      <c r="N414" s="170">
        <f>351937.07+140053</f>
        <v>491990.07</v>
      </c>
      <c r="O414" s="666"/>
      <c r="P414" s="666"/>
      <c r="Q414" s="666"/>
      <c r="R414" s="666"/>
      <c r="S414" s="152">
        <f t="shared" si="111"/>
        <v>491990.07</v>
      </c>
      <c r="T414" s="381">
        <f>+H414-N414</f>
        <v>0</v>
      </c>
      <c r="U414" s="666"/>
      <c r="V414" s="666"/>
      <c r="W414" s="666"/>
      <c r="X414" s="666"/>
      <c r="Y414" s="205">
        <f t="shared" si="113"/>
        <v>0</v>
      </c>
      <c r="Z414" s="666"/>
      <c r="AA414" s="666"/>
      <c r="AB414" s="666"/>
      <c r="AC414" s="666"/>
      <c r="AD414" s="666"/>
      <c r="AE414" s="666"/>
      <c r="AP414" s="666" t="s">
        <v>1406</v>
      </c>
    </row>
    <row r="415" spans="2:42" ht="45">
      <c r="B415" s="193">
        <v>1.41</v>
      </c>
      <c r="C415" s="492" t="s">
        <v>195</v>
      </c>
      <c r="D415" s="171" t="s">
        <v>196</v>
      </c>
      <c r="E415" s="666"/>
      <c r="F415" s="390"/>
      <c r="G415" s="761"/>
      <c r="H415" s="170">
        <v>124584.76000000001</v>
      </c>
      <c r="I415" s="390"/>
      <c r="J415" s="390"/>
      <c r="K415" s="390"/>
      <c r="L415" s="390"/>
      <c r="M415" s="416">
        <f t="shared" si="110"/>
        <v>124584.76000000001</v>
      </c>
      <c r="N415" s="170">
        <v>124584.75</v>
      </c>
      <c r="O415" s="666"/>
      <c r="P415" s="666"/>
      <c r="Q415" s="666"/>
      <c r="R415" s="666"/>
      <c r="S415" s="152">
        <f t="shared" si="111"/>
        <v>124584.75</v>
      </c>
      <c r="T415" s="381">
        <f>+H415-N415</f>
        <v>1.0000000009313226E-2</v>
      </c>
      <c r="U415" s="666"/>
      <c r="V415" s="666"/>
      <c r="W415" s="666"/>
      <c r="X415" s="666"/>
      <c r="Y415" s="205">
        <f t="shared" si="113"/>
        <v>1.0000000009313226E-2</v>
      </c>
      <c r="Z415" s="666"/>
      <c r="AA415" s="666"/>
      <c r="AB415" s="666"/>
      <c r="AC415" s="666"/>
      <c r="AD415" s="666"/>
      <c r="AE415" s="666"/>
      <c r="AP415" s="666" t="s">
        <v>1407</v>
      </c>
    </row>
    <row r="416" spans="2:42" ht="34.5">
      <c r="B416" s="349">
        <f t="shared" si="117"/>
        <v>1.42</v>
      </c>
      <c r="C416" s="164" t="s">
        <v>197</v>
      </c>
      <c r="D416" s="163" t="s">
        <v>198</v>
      </c>
      <c r="E416" s="666"/>
      <c r="F416" s="390"/>
      <c r="G416" s="761"/>
      <c r="H416" s="170">
        <v>796008.67999999993</v>
      </c>
      <c r="I416" s="390"/>
      <c r="J416" s="390"/>
      <c r="K416" s="390"/>
      <c r="L416" s="390"/>
      <c r="M416" s="416">
        <f t="shared" si="110"/>
        <v>796008.67999999993</v>
      </c>
      <c r="N416" s="170">
        <v>752646.19</v>
      </c>
      <c r="O416" s="666"/>
      <c r="P416" s="666"/>
      <c r="Q416" s="666"/>
      <c r="R416" s="666"/>
      <c r="S416" s="152">
        <f t="shared" si="111"/>
        <v>752646.19</v>
      </c>
      <c r="T416" s="170">
        <f>+H416-N416</f>
        <v>43362.489999999991</v>
      </c>
      <c r="U416" s="666"/>
      <c r="V416" s="666"/>
      <c r="W416" s="666"/>
      <c r="X416" s="666"/>
      <c r="Y416" s="152">
        <f t="shared" si="113"/>
        <v>43362.489999999991</v>
      </c>
      <c r="Z416" s="666"/>
      <c r="AA416" s="666"/>
      <c r="AB416" s="666"/>
      <c r="AC416" s="666"/>
      <c r="AD416" s="666"/>
      <c r="AE416" s="666"/>
      <c r="AP416" s="666"/>
    </row>
    <row r="417" spans="2:42" ht="63.75">
      <c r="B417" s="193">
        <f t="shared" si="117"/>
        <v>1.43</v>
      </c>
      <c r="C417" s="492" t="s">
        <v>199</v>
      </c>
      <c r="D417" s="163" t="s">
        <v>200</v>
      </c>
      <c r="E417" s="666"/>
      <c r="F417" s="390"/>
      <c r="G417" s="796" t="s">
        <v>1473</v>
      </c>
      <c r="H417" s="170">
        <f>2722089.09-50891.15-1000000+1029659.77</f>
        <v>2700857.71</v>
      </c>
      <c r="I417" s="390"/>
      <c r="J417" s="390"/>
      <c r="K417" s="390"/>
      <c r="L417" s="390"/>
      <c r="M417" s="416">
        <f t="shared" si="110"/>
        <v>2700857.71</v>
      </c>
      <c r="N417" s="170">
        <v>2700857.71</v>
      </c>
      <c r="O417" s="666"/>
      <c r="P417" s="666"/>
      <c r="Q417" s="666"/>
      <c r="R417" s="666"/>
      <c r="S417" s="152">
        <f t="shared" si="111"/>
        <v>2700857.71</v>
      </c>
      <c r="T417" s="170">
        <f t="shared" ref="T417:T458" si="118">+H417-N417</f>
        <v>0</v>
      </c>
      <c r="U417" s="666"/>
      <c r="V417" s="666"/>
      <c r="W417" s="666"/>
      <c r="X417" s="666"/>
      <c r="Y417" s="152">
        <f t="shared" si="113"/>
        <v>0</v>
      </c>
      <c r="Z417" s="666"/>
      <c r="AA417" s="666"/>
      <c r="AB417" s="666"/>
      <c r="AC417" s="666"/>
      <c r="AD417" s="666"/>
      <c r="AE417" s="666"/>
      <c r="AF417">
        <v>1029659.77</v>
      </c>
      <c r="AP417" s="666"/>
    </row>
    <row r="418" spans="2:42" ht="61.5">
      <c r="B418" s="193">
        <f t="shared" si="117"/>
        <v>1.44</v>
      </c>
      <c r="C418" s="164" t="s">
        <v>201</v>
      </c>
      <c r="D418" s="795" t="s">
        <v>202</v>
      </c>
      <c r="E418" s="666"/>
      <c r="F418" s="390"/>
      <c r="G418" s="797"/>
      <c r="H418" s="170">
        <v>798612.57</v>
      </c>
      <c r="I418" s="390"/>
      <c r="J418" s="390"/>
      <c r="K418" s="390"/>
      <c r="L418" s="390"/>
      <c r="M418" s="416">
        <f t="shared" si="110"/>
        <v>798612.57</v>
      </c>
      <c r="N418" s="170">
        <v>1240947.94</v>
      </c>
      <c r="O418" s="666"/>
      <c r="P418" s="666"/>
      <c r="Q418" s="666"/>
      <c r="R418" s="666"/>
      <c r="S418" s="152">
        <f t="shared" si="111"/>
        <v>1240947.94</v>
      </c>
      <c r="T418" s="170">
        <f t="shared" si="118"/>
        <v>-442335.37</v>
      </c>
      <c r="U418" s="666"/>
      <c r="V418" s="666"/>
      <c r="W418" s="666"/>
      <c r="X418" s="666"/>
      <c r="Y418" s="152">
        <f t="shared" si="113"/>
        <v>-442335.37</v>
      </c>
      <c r="Z418" s="666"/>
      <c r="AA418" s="666"/>
      <c r="AB418" s="666"/>
      <c r="AC418" s="666"/>
      <c r="AD418" s="666"/>
      <c r="AE418" s="666"/>
      <c r="AF418">
        <v>442335.37</v>
      </c>
      <c r="AP418" s="666"/>
    </row>
    <row r="419" spans="2:42" ht="60">
      <c r="B419" s="193">
        <f t="shared" si="117"/>
        <v>1.45</v>
      </c>
      <c r="C419" s="164" t="s">
        <v>203</v>
      </c>
      <c r="D419" s="171" t="s">
        <v>204</v>
      </c>
      <c r="E419" s="666"/>
      <c r="F419" s="390"/>
      <c r="G419" s="761"/>
      <c r="H419" s="170">
        <v>1097986.6599999999</v>
      </c>
      <c r="I419" s="390"/>
      <c r="J419" s="390"/>
      <c r="K419" s="390"/>
      <c r="L419" s="390"/>
      <c r="M419" s="416">
        <f t="shared" si="110"/>
        <v>1097986.6599999999</v>
      </c>
      <c r="N419" s="170">
        <v>1080101.2</v>
      </c>
      <c r="O419" s="666"/>
      <c r="P419" s="666"/>
      <c r="Q419" s="666"/>
      <c r="R419" s="666"/>
      <c r="S419" s="152">
        <f t="shared" si="111"/>
        <v>1080101.2</v>
      </c>
      <c r="T419" s="170">
        <f t="shared" si="118"/>
        <v>17885.459999999963</v>
      </c>
      <c r="U419" s="666"/>
      <c r="V419" s="666"/>
      <c r="W419" s="666"/>
      <c r="X419" s="666"/>
      <c r="Y419" s="152">
        <f t="shared" si="113"/>
        <v>17885.459999999963</v>
      </c>
      <c r="Z419" s="666"/>
      <c r="AA419" s="666"/>
      <c r="AB419" s="666"/>
      <c r="AC419" s="666"/>
      <c r="AD419" s="666"/>
      <c r="AE419" s="666"/>
      <c r="AP419" s="666"/>
    </row>
    <row r="420" spans="2:42" ht="46.5">
      <c r="B420" s="193">
        <f t="shared" si="117"/>
        <v>1.46</v>
      </c>
      <c r="C420" s="164" t="s">
        <v>205</v>
      </c>
      <c r="D420" s="171" t="s">
        <v>206</v>
      </c>
      <c r="E420" s="666"/>
      <c r="F420" s="390"/>
      <c r="G420" s="761"/>
      <c r="H420" s="170">
        <v>396126.35</v>
      </c>
      <c r="I420" s="390"/>
      <c r="J420" s="390"/>
      <c r="K420" s="390"/>
      <c r="L420" s="390"/>
      <c r="M420" s="416">
        <f t="shared" si="110"/>
        <v>396126.35</v>
      </c>
      <c r="N420" s="170">
        <v>344951.72</v>
      </c>
      <c r="O420" s="666"/>
      <c r="P420" s="666"/>
      <c r="Q420" s="666"/>
      <c r="R420" s="666"/>
      <c r="S420" s="152">
        <f t="shared" si="111"/>
        <v>344951.72</v>
      </c>
      <c r="T420" s="170">
        <f t="shared" si="118"/>
        <v>51174.630000000005</v>
      </c>
      <c r="U420" s="666"/>
      <c r="V420" s="666"/>
      <c r="W420" s="666"/>
      <c r="X420" s="666"/>
      <c r="Y420" s="152">
        <f t="shared" si="113"/>
        <v>51174.630000000005</v>
      </c>
      <c r="Z420" s="666"/>
      <c r="AA420" s="666"/>
      <c r="AB420" s="666"/>
      <c r="AC420" s="666"/>
      <c r="AD420" s="666"/>
      <c r="AE420" s="666"/>
      <c r="AP420" s="666"/>
    </row>
    <row r="421" spans="2:42" ht="45">
      <c r="B421" s="193">
        <f t="shared" si="117"/>
        <v>1.47</v>
      </c>
      <c r="C421" s="164" t="s">
        <v>207</v>
      </c>
      <c r="D421" s="166" t="s">
        <v>208</v>
      </c>
      <c r="E421" s="666"/>
      <c r="F421" s="390"/>
      <c r="G421" s="761"/>
      <c r="H421" s="170">
        <v>5611.6100000000006</v>
      </c>
      <c r="I421" s="390"/>
      <c r="J421" s="390"/>
      <c r="K421" s="390"/>
      <c r="L421" s="390"/>
      <c r="M421" s="416">
        <f t="shared" si="110"/>
        <v>5611.6100000000006</v>
      </c>
      <c r="N421" s="170">
        <v>4160.78</v>
      </c>
      <c r="O421" s="666"/>
      <c r="P421" s="666"/>
      <c r="Q421" s="666"/>
      <c r="R421" s="666"/>
      <c r="S421" s="152">
        <f t="shared" si="111"/>
        <v>4160.78</v>
      </c>
      <c r="T421" s="170">
        <f t="shared" si="118"/>
        <v>1450.8300000000008</v>
      </c>
      <c r="U421" s="666"/>
      <c r="V421" s="666"/>
      <c r="W421" s="666"/>
      <c r="X421" s="666"/>
      <c r="Y421" s="152">
        <f t="shared" si="113"/>
        <v>1450.8300000000008</v>
      </c>
      <c r="Z421" s="666"/>
      <c r="AA421" s="666"/>
      <c r="AB421" s="666"/>
      <c r="AC421" s="666"/>
      <c r="AD421" s="666"/>
      <c r="AE421" s="666"/>
      <c r="AP421" s="666"/>
    </row>
    <row r="422" spans="2:42" ht="61.5">
      <c r="B422" s="193">
        <f t="shared" si="117"/>
        <v>1.48</v>
      </c>
      <c r="C422" s="164" t="s">
        <v>209</v>
      </c>
      <c r="D422" s="166" t="s">
        <v>210</v>
      </c>
      <c r="E422" s="666"/>
      <c r="F422" s="390"/>
      <c r="G422" s="761"/>
      <c r="H422" s="170">
        <v>1049.2</v>
      </c>
      <c r="I422" s="390"/>
      <c r="J422" s="390"/>
      <c r="K422" s="390"/>
      <c r="L422" s="390"/>
      <c r="M422" s="416">
        <f t="shared" si="110"/>
        <v>1049.2</v>
      </c>
      <c r="N422" s="170">
        <v>314.76</v>
      </c>
      <c r="O422" s="666"/>
      <c r="P422" s="666"/>
      <c r="Q422" s="666"/>
      <c r="R422" s="666"/>
      <c r="S422" s="152">
        <f t="shared" si="111"/>
        <v>314.76</v>
      </c>
      <c r="T422" s="170">
        <f t="shared" si="118"/>
        <v>734.44</v>
      </c>
      <c r="U422" s="666"/>
      <c r="V422" s="666"/>
      <c r="W422" s="666"/>
      <c r="X422" s="666"/>
      <c r="Y422" s="152">
        <f t="shared" si="113"/>
        <v>734.44</v>
      </c>
      <c r="Z422" s="666"/>
      <c r="AA422" s="666"/>
      <c r="AB422" s="666"/>
      <c r="AC422" s="666"/>
      <c r="AD422" s="666"/>
      <c r="AE422" s="666"/>
      <c r="AP422" s="666"/>
    </row>
    <row r="423" spans="2:42" ht="34.5">
      <c r="B423" s="193">
        <v>1.49</v>
      </c>
      <c r="C423" s="164" t="s">
        <v>211</v>
      </c>
      <c r="D423" s="163" t="s">
        <v>212</v>
      </c>
      <c r="E423" s="666"/>
      <c r="F423" s="390"/>
      <c r="G423" s="761"/>
      <c r="H423" s="170">
        <v>450483.22</v>
      </c>
      <c r="I423" s="390"/>
      <c r="J423" s="390"/>
      <c r="K423" s="390"/>
      <c r="L423" s="390"/>
      <c r="M423" s="416">
        <f t="shared" si="110"/>
        <v>450483.22</v>
      </c>
      <c r="N423" s="170">
        <v>411326.5</v>
      </c>
      <c r="O423" s="666"/>
      <c r="P423" s="666"/>
      <c r="Q423" s="666"/>
      <c r="R423" s="666"/>
      <c r="S423" s="152">
        <f t="shared" si="111"/>
        <v>411326.5</v>
      </c>
      <c r="T423" s="170">
        <f t="shared" si="118"/>
        <v>39156.719999999972</v>
      </c>
      <c r="U423" s="666"/>
      <c r="V423" s="666"/>
      <c r="W423" s="666"/>
      <c r="X423" s="666"/>
      <c r="Y423" s="152">
        <f t="shared" si="113"/>
        <v>39156.719999999972</v>
      </c>
      <c r="Z423" s="666"/>
      <c r="AA423" s="666"/>
      <c r="AB423" s="666"/>
      <c r="AC423" s="666"/>
      <c r="AD423" s="666"/>
      <c r="AE423" s="666"/>
      <c r="AP423" s="666"/>
    </row>
    <row r="424" spans="2:42" ht="34.5">
      <c r="B424" s="348" t="s">
        <v>792</v>
      </c>
      <c r="C424" s="164" t="s">
        <v>213</v>
      </c>
      <c r="D424" s="163" t="s">
        <v>214</v>
      </c>
      <c r="E424" s="666"/>
      <c r="F424" s="390"/>
      <c r="G424" s="761"/>
      <c r="H424" s="155">
        <f>143847.52+327942.96</f>
        <v>471790.48</v>
      </c>
      <c r="I424" s="390"/>
      <c r="J424" s="390"/>
      <c r="K424" s="390"/>
      <c r="L424" s="390"/>
      <c r="M424" s="416">
        <f t="shared" si="110"/>
        <v>471790.48</v>
      </c>
      <c r="N424" s="155">
        <v>471790.47</v>
      </c>
      <c r="O424" s="666"/>
      <c r="P424" s="666"/>
      <c r="Q424" s="666"/>
      <c r="R424" s="666"/>
      <c r="S424" s="152">
        <f t="shared" si="111"/>
        <v>471790.47</v>
      </c>
      <c r="T424" s="170">
        <f t="shared" si="118"/>
        <v>1.0000000009313226E-2</v>
      </c>
      <c r="U424" s="666"/>
      <c r="V424" s="666"/>
      <c r="W424" s="666"/>
      <c r="X424" s="666"/>
      <c r="Y424" s="152">
        <f t="shared" si="113"/>
        <v>1.0000000009313226E-2</v>
      </c>
      <c r="Z424" s="666"/>
      <c r="AA424" s="666"/>
      <c r="AB424" s="666"/>
      <c r="AC424" s="666"/>
      <c r="AD424" s="666"/>
      <c r="AE424" s="666"/>
      <c r="AP424" s="666"/>
    </row>
    <row r="425" spans="2:42" ht="60">
      <c r="B425" s="193">
        <v>1.51</v>
      </c>
      <c r="C425" s="164" t="s">
        <v>215</v>
      </c>
      <c r="D425" s="163" t="s">
        <v>216</v>
      </c>
      <c r="E425" s="666"/>
      <c r="F425" s="390"/>
      <c r="G425" s="761"/>
      <c r="H425" s="170">
        <v>253591.55000000002</v>
      </c>
      <c r="I425" s="390"/>
      <c r="J425" s="390"/>
      <c r="K425" s="390"/>
      <c r="L425" s="390"/>
      <c r="M425" s="416">
        <f t="shared" si="110"/>
        <v>253591.55000000002</v>
      </c>
      <c r="N425" s="170">
        <v>188955.99</v>
      </c>
      <c r="O425" s="666"/>
      <c r="P425" s="666"/>
      <c r="Q425" s="666"/>
      <c r="R425" s="666"/>
      <c r="S425" s="152">
        <f t="shared" si="111"/>
        <v>188955.99</v>
      </c>
      <c r="T425" s="170">
        <f t="shared" si="118"/>
        <v>64635.560000000027</v>
      </c>
      <c r="U425" s="666"/>
      <c r="V425" s="666"/>
      <c r="W425" s="666"/>
      <c r="X425" s="666"/>
      <c r="Y425" s="152">
        <f t="shared" si="113"/>
        <v>64635.560000000027</v>
      </c>
      <c r="Z425" s="666"/>
      <c r="AA425" s="666"/>
      <c r="AB425" s="666"/>
      <c r="AC425" s="666"/>
      <c r="AD425" s="666"/>
      <c r="AE425" s="666"/>
      <c r="AP425" s="666"/>
    </row>
    <row r="426" spans="2:42" ht="77.25">
      <c r="B426" s="193">
        <f t="shared" si="117"/>
        <v>1.52</v>
      </c>
      <c r="C426" s="164" t="s">
        <v>217</v>
      </c>
      <c r="D426" s="163" t="s">
        <v>218</v>
      </c>
      <c r="E426" s="666"/>
      <c r="F426" s="390"/>
      <c r="G426" s="761"/>
      <c r="H426" s="170">
        <v>559734.42000000004</v>
      </c>
      <c r="I426" s="390"/>
      <c r="J426" s="390"/>
      <c r="K426" s="390"/>
      <c r="L426" s="390"/>
      <c r="M426" s="416">
        <f t="shared" si="110"/>
        <v>559734.42000000004</v>
      </c>
      <c r="N426" s="170">
        <v>555565.52</v>
      </c>
      <c r="O426" s="666"/>
      <c r="P426" s="666"/>
      <c r="Q426" s="666"/>
      <c r="R426" s="666"/>
      <c r="S426" s="152">
        <f t="shared" si="111"/>
        <v>555565.52</v>
      </c>
      <c r="T426" s="170">
        <f t="shared" si="118"/>
        <v>4168.9000000000233</v>
      </c>
      <c r="U426" s="666"/>
      <c r="V426" s="666"/>
      <c r="W426" s="666"/>
      <c r="X426" s="666"/>
      <c r="Y426" s="152">
        <f t="shared" si="113"/>
        <v>4168.9000000000233</v>
      </c>
      <c r="Z426" s="666"/>
      <c r="AA426" s="666"/>
      <c r="AB426" s="666"/>
      <c r="AC426" s="666"/>
      <c r="AD426" s="666"/>
      <c r="AE426" s="666"/>
      <c r="AP426" s="666"/>
    </row>
    <row r="427" spans="2:42" ht="45.6" customHeight="1">
      <c r="B427" s="492">
        <f t="shared" si="117"/>
        <v>1.53</v>
      </c>
      <c r="C427" s="164" t="s">
        <v>219</v>
      </c>
      <c r="D427" s="163" t="s">
        <v>220</v>
      </c>
      <c r="E427" s="666"/>
      <c r="F427" s="390"/>
      <c r="G427" s="761"/>
      <c r="H427" s="155">
        <f>3379415.47+50891.15+39108.85+54210.38</f>
        <v>3523625.85</v>
      </c>
      <c r="I427" s="390"/>
      <c r="J427" s="390"/>
      <c r="K427" s="390"/>
      <c r="L427" s="390"/>
      <c r="M427" s="416">
        <f t="shared" si="110"/>
        <v>3523625.85</v>
      </c>
      <c r="N427" s="155">
        <v>3357672.03</v>
      </c>
      <c r="O427" s="666"/>
      <c r="P427" s="666"/>
      <c r="Q427" s="666"/>
      <c r="R427" s="666"/>
      <c r="S427" s="152">
        <f t="shared" si="111"/>
        <v>3357672.03</v>
      </c>
      <c r="T427" s="170">
        <f t="shared" si="118"/>
        <v>165953.8200000003</v>
      </c>
      <c r="U427" s="666"/>
      <c r="V427" s="666"/>
      <c r="W427" s="666"/>
      <c r="X427" s="666"/>
      <c r="Y427" s="152">
        <f t="shared" si="113"/>
        <v>165953.8200000003</v>
      </c>
      <c r="Z427" s="666"/>
      <c r="AA427" s="666"/>
      <c r="AB427" s="666"/>
      <c r="AC427" s="666"/>
      <c r="AD427" s="666"/>
      <c r="AE427" s="666"/>
      <c r="AP427" s="666"/>
    </row>
    <row r="428" spans="2:42" ht="63.75">
      <c r="B428" s="193">
        <f t="shared" si="117"/>
        <v>1.54</v>
      </c>
      <c r="C428" s="164" t="s">
        <v>221</v>
      </c>
      <c r="D428" s="794" t="s">
        <v>222</v>
      </c>
      <c r="E428" s="666"/>
      <c r="F428" s="390"/>
      <c r="G428" s="803" t="s">
        <v>1475</v>
      </c>
      <c r="H428" s="170">
        <f>4286355.24+1000000+201617.86-13396.16</f>
        <v>5474576.9400000004</v>
      </c>
      <c r="I428" s="390"/>
      <c r="J428" s="390"/>
      <c r="K428" s="390"/>
      <c r="L428" s="390"/>
      <c r="M428" s="416">
        <f t="shared" si="110"/>
        <v>5474576.9400000004</v>
      </c>
      <c r="N428" s="170">
        <v>5487973.0999999996</v>
      </c>
      <c r="O428" s="666"/>
      <c r="P428" s="666"/>
      <c r="Q428" s="666"/>
      <c r="R428" s="666"/>
      <c r="S428" s="152">
        <f t="shared" si="111"/>
        <v>5487973.0999999996</v>
      </c>
      <c r="T428" s="170">
        <f t="shared" si="118"/>
        <v>-13396.159999999218</v>
      </c>
      <c r="U428" s="666"/>
      <c r="V428" s="666"/>
      <c r="W428" s="666"/>
      <c r="X428" s="666"/>
      <c r="Y428" s="152">
        <f t="shared" si="113"/>
        <v>-13396.159999999218</v>
      </c>
      <c r="Z428" s="666"/>
      <c r="AA428" s="666"/>
      <c r="AB428" s="666"/>
      <c r="AC428" s="666"/>
      <c r="AD428" s="666"/>
      <c r="AE428" s="666"/>
      <c r="AF428">
        <v>201617.86</v>
      </c>
      <c r="AG428">
        <v>13396.16</v>
      </c>
      <c r="AH428">
        <f>AF428-AG428</f>
        <v>188221.69999999998</v>
      </c>
      <c r="AP428" s="666"/>
    </row>
    <row r="429" spans="2:42" ht="46.5">
      <c r="B429" s="193">
        <f t="shared" si="117"/>
        <v>1.55</v>
      </c>
      <c r="C429" s="164" t="s">
        <v>223</v>
      </c>
      <c r="D429" s="163" t="s">
        <v>224</v>
      </c>
      <c r="E429" s="666"/>
      <c r="F429" s="390"/>
      <c r="G429" s="761"/>
      <c r="H429" s="170">
        <v>722967.68</v>
      </c>
      <c r="I429" s="390"/>
      <c r="J429" s="390"/>
      <c r="K429" s="390"/>
      <c r="L429" s="390"/>
      <c r="M429" s="416">
        <f t="shared" si="110"/>
        <v>722967.68</v>
      </c>
      <c r="N429" s="170">
        <v>720746.55</v>
      </c>
      <c r="O429" s="666"/>
      <c r="P429" s="666"/>
      <c r="Q429" s="666"/>
      <c r="R429" s="666"/>
      <c r="S429" s="152">
        <f t="shared" si="111"/>
        <v>720746.55</v>
      </c>
      <c r="T429" s="170">
        <f t="shared" si="118"/>
        <v>2221.1300000000047</v>
      </c>
      <c r="U429" s="666"/>
      <c r="V429" s="666"/>
      <c r="W429" s="666"/>
      <c r="X429" s="666"/>
      <c r="Y429" s="152">
        <f t="shared" si="113"/>
        <v>2221.1300000000047</v>
      </c>
      <c r="Z429" s="666"/>
      <c r="AA429" s="666"/>
      <c r="AB429" s="666"/>
      <c r="AC429" s="666"/>
      <c r="AD429" s="666"/>
      <c r="AE429" s="666"/>
      <c r="AP429" s="666"/>
    </row>
    <row r="430" spans="2:42" ht="63.75">
      <c r="B430" s="193">
        <f t="shared" si="117"/>
        <v>1.56</v>
      </c>
      <c r="C430" s="164" t="s">
        <v>225</v>
      </c>
      <c r="D430" s="163" t="s">
        <v>226</v>
      </c>
      <c r="E430" s="666"/>
      <c r="F430" s="390"/>
      <c r="G430" s="796" t="s">
        <v>1472</v>
      </c>
      <c r="H430" s="155">
        <f>427843+37661.79+105601.74</f>
        <v>571106.53</v>
      </c>
      <c r="I430" s="390"/>
      <c r="J430" s="390"/>
      <c r="K430" s="390"/>
      <c r="L430" s="390"/>
      <c r="M430" s="416">
        <f t="shared" si="110"/>
        <v>571106.53</v>
      </c>
      <c r="N430" s="170">
        <v>571106.53</v>
      </c>
      <c r="O430" s="666"/>
      <c r="P430" s="666"/>
      <c r="Q430" s="666"/>
      <c r="R430" s="666"/>
      <c r="S430" s="152">
        <f t="shared" si="111"/>
        <v>571106.53</v>
      </c>
      <c r="T430" s="170">
        <f t="shared" si="118"/>
        <v>0</v>
      </c>
      <c r="U430" s="666"/>
      <c r="V430" s="666"/>
      <c r="W430" s="666"/>
      <c r="X430" s="666"/>
      <c r="Y430" s="152">
        <f t="shared" si="113"/>
        <v>0</v>
      </c>
      <c r="Z430" s="666"/>
      <c r="AA430" s="666"/>
      <c r="AB430" s="666"/>
      <c r="AC430" s="666"/>
      <c r="AD430" s="666"/>
      <c r="AE430" s="666"/>
      <c r="AF430">
        <v>105601.74</v>
      </c>
      <c r="AP430" s="666"/>
    </row>
    <row r="431" spans="2:42" ht="46.5">
      <c r="B431" s="193">
        <f t="shared" si="117"/>
        <v>1.57</v>
      </c>
      <c r="C431" s="164" t="s">
        <v>227</v>
      </c>
      <c r="D431" s="163" t="s">
        <v>228</v>
      </c>
      <c r="E431" s="666"/>
      <c r="F431" s="390"/>
      <c r="G431" s="761"/>
      <c r="H431" s="170">
        <v>361386.4</v>
      </c>
      <c r="I431" s="390"/>
      <c r="J431" s="390"/>
      <c r="K431" s="390"/>
      <c r="L431" s="390"/>
      <c r="M431" s="416">
        <f t="shared" si="110"/>
        <v>361386.4</v>
      </c>
      <c r="N431" s="170">
        <v>359751.19</v>
      </c>
      <c r="O431" s="666"/>
      <c r="P431" s="666"/>
      <c r="Q431" s="666"/>
      <c r="R431" s="666"/>
      <c r="S431" s="152">
        <f t="shared" si="111"/>
        <v>359751.19</v>
      </c>
      <c r="T431" s="170">
        <f t="shared" si="118"/>
        <v>1635.210000000021</v>
      </c>
      <c r="U431" s="666"/>
      <c r="V431" s="666"/>
      <c r="W431" s="666"/>
      <c r="X431" s="666"/>
      <c r="Y431" s="152">
        <f t="shared" si="113"/>
        <v>1635.210000000021</v>
      </c>
      <c r="Z431" s="666"/>
      <c r="AA431" s="666"/>
      <c r="AB431" s="666"/>
      <c r="AC431" s="666"/>
      <c r="AD431" s="666"/>
      <c r="AE431" s="666"/>
      <c r="AP431" s="666"/>
    </row>
    <row r="432" spans="2:42" ht="61.5">
      <c r="B432" s="193">
        <f t="shared" si="117"/>
        <v>1.58</v>
      </c>
      <c r="C432" s="164" t="s">
        <v>229</v>
      </c>
      <c r="D432" s="163" t="s">
        <v>793</v>
      </c>
      <c r="E432" s="666"/>
      <c r="F432" s="390"/>
      <c r="G432" s="761"/>
      <c r="H432" s="170">
        <v>281041.2</v>
      </c>
      <c r="I432" s="390"/>
      <c r="J432" s="390"/>
      <c r="K432" s="390"/>
      <c r="L432" s="390"/>
      <c r="M432" s="416">
        <f t="shared" si="110"/>
        <v>281041.2</v>
      </c>
      <c r="N432" s="170">
        <v>278614.67</v>
      </c>
      <c r="O432" s="666"/>
      <c r="P432" s="666"/>
      <c r="Q432" s="666"/>
      <c r="R432" s="666"/>
      <c r="S432" s="152">
        <f t="shared" si="111"/>
        <v>278614.67</v>
      </c>
      <c r="T432" s="170">
        <f t="shared" si="118"/>
        <v>2426.5300000000279</v>
      </c>
      <c r="U432" s="666"/>
      <c r="V432" s="666"/>
      <c r="W432" s="666"/>
      <c r="X432" s="666"/>
      <c r="Y432" s="152">
        <f t="shared" si="113"/>
        <v>2426.5300000000279</v>
      </c>
      <c r="Z432" s="666"/>
      <c r="AA432" s="666"/>
      <c r="AB432" s="666"/>
      <c r="AC432" s="666"/>
      <c r="AD432" s="666"/>
      <c r="AE432" s="666"/>
      <c r="AP432" s="666"/>
    </row>
    <row r="433" spans="2:42" ht="75.75">
      <c r="B433" s="193">
        <v>1.59</v>
      </c>
      <c r="C433" s="164" t="s">
        <v>230</v>
      </c>
      <c r="D433" s="163" t="s">
        <v>794</v>
      </c>
      <c r="E433" s="666"/>
      <c r="F433" s="390"/>
      <c r="G433" s="761"/>
      <c r="H433" s="170">
        <v>754343</v>
      </c>
      <c r="I433" s="390"/>
      <c r="J433" s="390"/>
      <c r="K433" s="390"/>
      <c r="L433" s="390"/>
      <c r="M433" s="416">
        <f t="shared" si="110"/>
        <v>754343</v>
      </c>
      <c r="N433" s="170">
        <v>754342.52</v>
      </c>
      <c r="O433" s="666"/>
      <c r="P433" s="666"/>
      <c r="Q433" s="666"/>
      <c r="R433" s="666"/>
      <c r="S433" s="152">
        <f t="shared" si="111"/>
        <v>754342.52</v>
      </c>
      <c r="T433" s="170">
        <f t="shared" si="118"/>
        <v>0.47999999998137355</v>
      </c>
      <c r="U433" s="666"/>
      <c r="V433" s="666"/>
      <c r="W433" s="666"/>
      <c r="X433" s="666"/>
      <c r="Y433" s="152">
        <f t="shared" si="113"/>
        <v>0.47999999998137355</v>
      </c>
      <c r="Z433" s="666"/>
      <c r="AA433" s="666"/>
      <c r="AB433" s="666"/>
      <c r="AC433" s="666"/>
      <c r="AD433" s="666"/>
      <c r="AE433" s="666"/>
      <c r="AP433" s="666"/>
    </row>
    <row r="434" spans="2:42" ht="63">
      <c r="B434" s="348" t="s">
        <v>795</v>
      </c>
      <c r="C434" s="164" t="s">
        <v>231</v>
      </c>
      <c r="D434" s="163" t="s">
        <v>796</v>
      </c>
      <c r="E434" s="666"/>
      <c r="F434" s="390"/>
      <c r="G434" s="761"/>
      <c r="H434" s="170">
        <v>271347.42</v>
      </c>
      <c r="I434" s="390"/>
      <c r="J434" s="390"/>
      <c r="K434" s="390"/>
      <c r="L434" s="390"/>
      <c r="M434" s="416">
        <f t="shared" si="110"/>
        <v>271347.42</v>
      </c>
      <c r="N434" s="170">
        <v>226471.37</v>
      </c>
      <c r="O434" s="666"/>
      <c r="P434" s="666"/>
      <c r="Q434" s="666"/>
      <c r="R434" s="666"/>
      <c r="S434" s="152">
        <f t="shared" si="111"/>
        <v>226471.37</v>
      </c>
      <c r="T434" s="170">
        <f t="shared" si="118"/>
        <v>44876.049999999988</v>
      </c>
      <c r="U434" s="666"/>
      <c r="V434" s="666"/>
      <c r="W434" s="666"/>
      <c r="X434" s="666"/>
      <c r="Y434" s="152">
        <f t="shared" si="113"/>
        <v>44876.049999999988</v>
      </c>
      <c r="Z434" s="666"/>
      <c r="AA434" s="666"/>
      <c r="AB434" s="666"/>
      <c r="AC434" s="666"/>
      <c r="AD434" s="666"/>
      <c r="AE434" s="666"/>
      <c r="AP434" s="666"/>
    </row>
    <row r="435" spans="2:42" ht="61.5">
      <c r="B435" s="193">
        <v>1.61</v>
      </c>
      <c r="C435" s="164" t="s">
        <v>232</v>
      </c>
      <c r="D435" s="163" t="s">
        <v>797</v>
      </c>
      <c r="E435" s="666"/>
      <c r="F435" s="390"/>
      <c r="G435" s="761"/>
      <c r="H435" s="170">
        <v>134128.69</v>
      </c>
      <c r="I435" s="390"/>
      <c r="J435" s="390"/>
      <c r="K435" s="390"/>
      <c r="L435" s="390"/>
      <c r="M435" s="416">
        <f t="shared" si="110"/>
        <v>134128.69</v>
      </c>
      <c r="N435" s="170">
        <v>124804.04</v>
      </c>
      <c r="O435" s="666"/>
      <c r="P435" s="666"/>
      <c r="Q435" s="666"/>
      <c r="R435" s="666"/>
      <c r="S435" s="152">
        <f t="shared" si="111"/>
        <v>124804.04</v>
      </c>
      <c r="T435" s="170">
        <f t="shared" si="118"/>
        <v>9324.6500000000087</v>
      </c>
      <c r="U435" s="666"/>
      <c r="V435" s="666"/>
      <c r="W435" s="666"/>
      <c r="X435" s="666"/>
      <c r="Y435" s="152">
        <f t="shared" si="113"/>
        <v>9324.6500000000087</v>
      </c>
      <c r="Z435" s="666"/>
      <c r="AA435" s="666"/>
      <c r="AB435" s="666"/>
      <c r="AC435" s="666"/>
      <c r="AD435" s="666"/>
      <c r="AE435" s="666"/>
      <c r="AP435" s="666"/>
    </row>
    <row r="436" spans="2:42" ht="45.75">
      <c r="B436" s="193">
        <f t="shared" si="117"/>
        <v>1.62</v>
      </c>
      <c r="C436" s="164" t="s">
        <v>233</v>
      </c>
      <c r="D436" s="163" t="s">
        <v>798</v>
      </c>
      <c r="E436" s="666"/>
      <c r="F436" s="390"/>
      <c r="G436" s="761"/>
      <c r="H436" s="155">
        <f>1173642.78+121896.56</f>
        <v>1295539.3400000001</v>
      </c>
      <c r="I436" s="390"/>
      <c r="J436" s="390"/>
      <c r="K436" s="390"/>
      <c r="L436" s="390"/>
      <c r="M436" s="416">
        <f t="shared" si="110"/>
        <v>1295539.3400000001</v>
      </c>
      <c r="N436" s="170">
        <v>1173642.75</v>
      </c>
      <c r="O436" s="666"/>
      <c r="P436" s="666"/>
      <c r="Q436" s="666"/>
      <c r="R436" s="666"/>
      <c r="S436" s="152">
        <f t="shared" si="111"/>
        <v>1173642.75</v>
      </c>
      <c r="T436" s="170">
        <f t="shared" si="118"/>
        <v>121896.59000000008</v>
      </c>
      <c r="U436" s="666"/>
      <c r="V436" s="666"/>
      <c r="W436" s="666"/>
      <c r="X436" s="666"/>
      <c r="Y436" s="152">
        <f t="shared" si="113"/>
        <v>121896.59000000008</v>
      </c>
      <c r="Z436" s="666"/>
      <c r="AA436" s="666"/>
      <c r="AB436" s="666"/>
      <c r="AC436" s="666"/>
      <c r="AD436" s="666"/>
      <c r="AE436" s="666"/>
      <c r="AP436" s="666"/>
    </row>
    <row r="437" spans="2:42" ht="46.5">
      <c r="B437" s="193">
        <f t="shared" si="117"/>
        <v>1.6300000000000001</v>
      </c>
      <c r="C437" s="492" t="s">
        <v>234</v>
      </c>
      <c r="D437" s="163" t="s">
        <v>799</v>
      </c>
      <c r="E437" s="666"/>
      <c r="F437" s="390"/>
      <c r="G437" s="761"/>
      <c r="H437" s="170">
        <v>270225.63</v>
      </c>
      <c r="I437" s="390"/>
      <c r="J437" s="390"/>
      <c r="K437" s="390"/>
      <c r="L437" s="390"/>
      <c r="M437" s="416">
        <f t="shared" si="110"/>
        <v>270225.63</v>
      </c>
      <c r="N437" s="170">
        <f>116630.18+0+88295.15</f>
        <v>204925.33</v>
      </c>
      <c r="O437" s="666"/>
      <c r="P437" s="666"/>
      <c r="Q437" s="666"/>
      <c r="R437" s="666"/>
      <c r="S437" s="152">
        <f t="shared" si="111"/>
        <v>204925.33</v>
      </c>
      <c r="T437" s="170">
        <f t="shared" si="118"/>
        <v>65300.300000000017</v>
      </c>
      <c r="U437" s="666"/>
      <c r="V437" s="666"/>
      <c r="W437" s="666"/>
      <c r="X437" s="666"/>
      <c r="Y437" s="152">
        <f t="shared" si="113"/>
        <v>65300.300000000017</v>
      </c>
      <c r="Z437" s="666"/>
      <c r="AA437" s="666"/>
      <c r="AB437" s="666"/>
      <c r="AC437" s="666"/>
      <c r="AD437" s="666"/>
      <c r="AE437" s="666"/>
      <c r="AP437" s="666" t="s">
        <v>1404</v>
      </c>
    </row>
    <row r="438" spans="2:42" ht="45.75">
      <c r="B438" s="193">
        <f t="shared" si="117"/>
        <v>1.6400000000000001</v>
      </c>
      <c r="C438" s="492" t="s">
        <v>235</v>
      </c>
      <c r="D438" s="163" t="s">
        <v>800</v>
      </c>
      <c r="E438" s="666"/>
      <c r="F438" s="390"/>
      <c r="G438" s="761"/>
      <c r="H438" s="155">
        <f>348790.17+15370.86</f>
        <v>364161.02999999997</v>
      </c>
      <c r="I438" s="390"/>
      <c r="J438" s="390"/>
      <c r="K438" s="390"/>
      <c r="L438" s="390"/>
      <c r="M438" s="416">
        <f t="shared" si="110"/>
        <v>364161.02999999997</v>
      </c>
      <c r="N438" s="170">
        <v>0</v>
      </c>
      <c r="O438" s="666"/>
      <c r="P438" s="666"/>
      <c r="Q438" s="666"/>
      <c r="R438" s="666"/>
      <c r="S438" s="152">
        <f t="shared" si="111"/>
        <v>0</v>
      </c>
      <c r="T438" s="170">
        <f t="shared" si="118"/>
        <v>364161.02999999997</v>
      </c>
      <c r="U438" s="666"/>
      <c r="V438" s="666"/>
      <c r="W438" s="666"/>
      <c r="X438" s="666"/>
      <c r="Y438" s="152">
        <f t="shared" si="113"/>
        <v>364161.02999999997</v>
      </c>
      <c r="Z438" s="666"/>
      <c r="AA438" s="666"/>
      <c r="AB438" s="666"/>
      <c r="AC438" s="666"/>
      <c r="AD438" s="666"/>
      <c r="AE438" s="666"/>
      <c r="AP438" s="666" t="s">
        <v>1404</v>
      </c>
    </row>
    <row r="439" spans="2:42" ht="45.75">
      <c r="B439" s="193">
        <f t="shared" si="117"/>
        <v>1.6500000000000001</v>
      </c>
      <c r="C439" s="492" t="s">
        <v>236</v>
      </c>
      <c r="D439" s="163" t="s">
        <v>801</v>
      </c>
      <c r="E439" s="666"/>
      <c r="F439" s="584" t="s">
        <v>1151</v>
      </c>
      <c r="G439" s="763"/>
      <c r="H439" s="170">
        <v>183197.71</v>
      </c>
      <c r="I439" s="390"/>
      <c r="J439" s="390"/>
      <c r="K439" s="390"/>
      <c r="L439" s="390"/>
      <c r="M439" s="416">
        <f t="shared" si="110"/>
        <v>183197.71</v>
      </c>
      <c r="N439" s="170">
        <f>113662.28+49628.54</f>
        <v>163290.82</v>
      </c>
      <c r="O439" s="666"/>
      <c r="P439" s="666"/>
      <c r="Q439" s="666"/>
      <c r="R439" s="666"/>
      <c r="S439" s="152">
        <f t="shared" si="111"/>
        <v>163290.82</v>
      </c>
      <c r="T439" s="170">
        <f>+H439-N439</f>
        <v>19906.889999999985</v>
      </c>
      <c r="U439" s="666"/>
      <c r="V439" s="666"/>
      <c r="W439" s="666"/>
      <c r="X439" s="666"/>
      <c r="Y439" s="152">
        <f t="shared" si="113"/>
        <v>19906.889999999985</v>
      </c>
      <c r="Z439" s="170">
        <f>142794.41+40402.78</f>
        <v>183197.19</v>
      </c>
      <c r="AA439" s="170">
        <v>0</v>
      </c>
      <c r="AB439" s="170">
        <v>0</v>
      </c>
      <c r="AC439" s="170">
        <v>0</v>
      </c>
      <c r="AD439" s="170">
        <v>0</v>
      </c>
      <c r="AE439" s="170">
        <f>SUM(Z439:AD439)</f>
        <v>183197.19</v>
      </c>
      <c r="AP439" s="666" t="s">
        <v>1404</v>
      </c>
    </row>
    <row r="440" spans="2:42" ht="60">
      <c r="B440" s="193">
        <f t="shared" si="117"/>
        <v>1.6600000000000001</v>
      </c>
      <c r="C440" s="164" t="s">
        <v>237</v>
      </c>
      <c r="D440" s="171" t="s">
        <v>802</v>
      </c>
      <c r="E440" s="666"/>
      <c r="F440" s="390"/>
      <c r="G440" s="761"/>
      <c r="H440" s="170">
        <v>1471.2900000000002</v>
      </c>
      <c r="I440" s="390"/>
      <c r="J440" s="390"/>
      <c r="K440" s="390"/>
      <c r="L440" s="390"/>
      <c r="M440" s="416">
        <f t="shared" ref="M440:M458" si="119">SUM(H440:L440)</f>
        <v>1471.2900000000002</v>
      </c>
      <c r="N440" s="170">
        <v>1347.57</v>
      </c>
      <c r="O440" s="666"/>
      <c r="P440" s="666"/>
      <c r="Q440" s="666"/>
      <c r="R440" s="666"/>
      <c r="S440" s="152">
        <f t="shared" ref="S440:S456" si="120">SUM(N440:R440)</f>
        <v>1347.57</v>
      </c>
      <c r="T440" s="170">
        <f t="shared" si="118"/>
        <v>123.72000000000025</v>
      </c>
      <c r="U440" s="666"/>
      <c r="V440" s="666"/>
      <c r="W440" s="666"/>
      <c r="X440" s="666"/>
      <c r="Y440" s="152">
        <f t="shared" ref="Y440:Y458" si="121">SUM(T440:X440)</f>
        <v>123.72000000000025</v>
      </c>
      <c r="Z440" s="666"/>
      <c r="AA440" s="666"/>
      <c r="AB440" s="666"/>
      <c r="AC440" s="666"/>
      <c r="AD440" s="666"/>
      <c r="AE440" s="666"/>
      <c r="AP440" s="666"/>
    </row>
    <row r="441" spans="2:42" ht="60">
      <c r="B441" s="193">
        <f t="shared" si="117"/>
        <v>1.6700000000000002</v>
      </c>
      <c r="C441" s="164" t="s">
        <v>238</v>
      </c>
      <c r="D441" s="171" t="s">
        <v>803</v>
      </c>
      <c r="E441" s="666"/>
      <c r="F441" s="390"/>
      <c r="G441" s="761"/>
      <c r="H441" s="170">
        <v>2945.4100000000003</v>
      </c>
      <c r="I441" s="390"/>
      <c r="J441" s="390"/>
      <c r="K441" s="390"/>
      <c r="L441" s="390"/>
      <c r="M441" s="416">
        <f t="shared" si="119"/>
        <v>2945.4100000000003</v>
      </c>
      <c r="N441" s="170">
        <v>2865.05</v>
      </c>
      <c r="O441" s="666"/>
      <c r="P441" s="666"/>
      <c r="Q441" s="666"/>
      <c r="R441" s="666"/>
      <c r="S441" s="152">
        <f t="shared" si="120"/>
        <v>2865.05</v>
      </c>
      <c r="T441" s="170">
        <f t="shared" si="118"/>
        <v>80.360000000000127</v>
      </c>
      <c r="U441" s="666"/>
      <c r="V441" s="666"/>
      <c r="W441" s="666"/>
      <c r="X441" s="666"/>
      <c r="Y441" s="152">
        <f t="shared" si="121"/>
        <v>80.360000000000127</v>
      </c>
      <c r="Z441" s="666"/>
      <c r="AA441" s="666"/>
      <c r="AB441" s="666"/>
      <c r="AC441" s="666"/>
      <c r="AD441" s="666"/>
      <c r="AE441" s="666"/>
      <c r="AP441" s="666"/>
    </row>
    <row r="442" spans="2:42" ht="61.5">
      <c r="B442" s="193">
        <f t="shared" si="117"/>
        <v>1.6800000000000002</v>
      </c>
      <c r="C442" s="164" t="s">
        <v>239</v>
      </c>
      <c r="D442" s="795" t="s">
        <v>804</v>
      </c>
      <c r="E442" s="666"/>
      <c r="F442" s="390"/>
      <c r="G442" s="802"/>
      <c r="H442" s="170">
        <f>240367.21</f>
        <v>240367.21</v>
      </c>
      <c r="I442" s="390"/>
      <c r="J442" s="390"/>
      <c r="K442" s="390"/>
      <c r="L442" s="390"/>
      <c r="M442" s="416">
        <f t="shared" si="119"/>
        <v>240367.21</v>
      </c>
      <c r="N442" s="170">
        <v>257653</v>
      </c>
      <c r="O442" s="666"/>
      <c r="P442" s="666"/>
      <c r="Q442" s="666"/>
      <c r="R442" s="666"/>
      <c r="S442" s="152">
        <f t="shared" si="120"/>
        <v>257653</v>
      </c>
      <c r="T442" s="170">
        <f t="shared" si="118"/>
        <v>-17285.790000000008</v>
      </c>
      <c r="U442" s="666"/>
      <c r="V442" s="666"/>
      <c r="W442" s="666"/>
      <c r="X442" s="666"/>
      <c r="Y442" s="152">
        <f t="shared" si="121"/>
        <v>-17285.790000000008</v>
      </c>
      <c r="Z442" s="666"/>
      <c r="AA442" s="666"/>
      <c r="AB442" s="666"/>
      <c r="AC442" s="666"/>
      <c r="AD442" s="666"/>
      <c r="AE442" s="666"/>
      <c r="AF442" s="182"/>
      <c r="AP442" s="666"/>
    </row>
    <row r="443" spans="2:42" ht="45.75">
      <c r="B443" s="193">
        <v>1.69</v>
      </c>
      <c r="C443" s="172" t="s">
        <v>240</v>
      </c>
      <c r="D443" s="171" t="s">
        <v>805</v>
      </c>
      <c r="E443" s="666"/>
      <c r="F443" s="390"/>
      <c r="G443" s="761"/>
      <c r="H443" s="170">
        <f>254172.44-1316.94</f>
        <v>252855.5</v>
      </c>
      <c r="I443" s="390"/>
      <c r="J443" s="390"/>
      <c r="K443" s="390"/>
      <c r="L443" s="390"/>
      <c r="M443" s="416">
        <f t="shared" si="119"/>
        <v>252855.5</v>
      </c>
      <c r="N443" s="170">
        <f>126292.56+0+0+100989.43</f>
        <v>227281.99</v>
      </c>
      <c r="O443" s="666"/>
      <c r="P443" s="666"/>
      <c r="Q443" s="666"/>
      <c r="R443" s="666"/>
      <c r="S443" s="152">
        <f t="shared" si="120"/>
        <v>227281.99</v>
      </c>
      <c r="T443" s="170">
        <f t="shared" si="118"/>
        <v>25573.510000000009</v>
      </c>
      <c r="U443" s="666"/>
      <c r="V443" s="666"/>
      <c r="W443" s="666"/>
      <c r="X443" s="666"/>
      <c r="Y443" s="152">
        <f t="shared" si="121"/>
        <v>25573.510000000009</v>
      </c>
      <c r="Z443" s="666"/>
      <c r="AA443" s="666"/>
      <c r="AB443" s="666"/>
      <c r="AC443" s="666"/>
      <c r="AD443" s="666"/>
      <c r="AE443" s="666"/>
      <c r="AF443" s="182"/>
      <c r="AG443" s="182"/>
      <c r="AP443" s="666" t="s">
        <v>1404</v>
      </c>
    </row>
    <row r="444" spans="2:42" ht="31.15" customHeight="1">
      <c r="B444" s="348" t="s">
        <v>806</v>
      </c>
      <c r="C444" s="172" t="s">
        <v>241</v>
      </c>
      <c r="D444" s="171" t="s">
        <v>807</v>
      </c>
      <c r="E444" s="666"/>
      <c r="F444" s="390"/>
      <c r="G444" s="761"/>
      <c r="H444" s="155">
        <f>290334.88+13427.59</f>
        <v>303762.47000000003</v>
      </c>
      <c r="I444" s="390"/>
      <c r="J444" s="390"/>
      <c r="K444" s="390"/>
      <c r="L444" s="390"/>
      <c r="M444" s="416">
        <f t="shared" si="119"/>
        <v>303762.47000000003</v>
      </c>
      <c r="N444" s="170">
        <f>0+0+137114.85</f>
        <v>137114.85</v>
      </c>
      <c r="O444" s="666"/>
      <c r="P444" s="666"/>
      <c r="Q444" s="666"/>
      <c r="R444" s="666"/>
      <c r="S444" s="152">
        <f t="shared" si="120"/>
        <v>137114.85</v>
      </c>
      <c r="T444" s="170">
        <f t="shared" si="118"/>
        <v>166647.62000000002</v>
      </c>
      <c r="U444" s="666"/>
      <c r="V444" s="666"/>
      <c r="W444" s="666"/>
      <c r="X444" s="666"/>
      <c r="Y444" s="152">
        <f t="shared" si="121"/>
        <v>166647.62000000002</v>
      </c>
      <c r="Z444" s="666"/>
      <c r="AA444" s="666"/>
      <c r="AB444" s="666"/>
      <c r="AC444" s="666"/>
      <c r="AD444" s="666"/>
      <c r="AE444" s="666"/>
      <c r="AF444" s="182"/>
      <c r="AP444" s="666" t="s">
        <v>1404</v>
      </c>
    </row>
    <row r="445" spans="2:42" ht="45.75">
      <c r="B445" s="492">
        <v>1.71</v>
      </c>
      <c r="C445" s="172" t="s">
        <v>438</v>
      </c>
      <c r="D445" s="171" t="s">
        <v>808</v>
      </c>
      <c r="E445" s="666"/>
      <c r="F445" s="390"/>
      <c r="G445" s="761"/>
      <c r="H445" s="155">
        <v>389562.72</v>
      </c>
      <c r="I445" s="390"/>
      <c r="J445" s="390"/>
      <c r="K445" s="390"/>
      <c r="L445" s="390"/>
      <c r="M445" s="416">
        <f t="shared" si="119"/>
        <v>389562.72</v>
      </c>
      <c r="N445" s="155">
        <v>0</v>
      </c>
      <c r="O445" s="666"/>
      <c r="P445" s="666"/>
      <c r="Q445" s="666"/>
      <c r="R445" s="666"/>
      <c r="S445" s="152">
        <f t="shared" si="120"/>
        <v>0</v>
      </c>
      <c r="T445" s="170">
        <f t="shared" si="118"/>
        <v>389562.72</v>
      </c>
      <c r="U445" s="666"/>
      <c r="V445" s="666"/>
      <c r="W445" s="666"/>
      <c r="X445" s="666"/>
      <c r="Y445" s="152">
        <f t="shared" si="121"/>
        <v>389562.72</v>
      </c>
      <c r="Z445" s="420">
        <v>389562.72</v>
      </c>
      <c r="AA445" s="420">
        <v>0</v>
      </c>
      <c r="AB445" s="420">
        <v>0</v>
      </c>
      <c r="AC445" s="420">
        <v>0</v>
      </c>
      <c r="AD445" s="420">
        <v>0</v>
      </c>
      <c r="AE445" s="420">
        <v>389562.72</v>
      </c>
      <c r="AF445" s="139"/>
      <c r="AP445" s="666" t="s">
        <v>1404</v>
      </c>
    </row>
    <row r="446" spans="2:42" ht="45.75">
      <c r="B446" s="193">
        <f t="shared" si="117"/>
        <v>1.72</v>
      </c>
      <c r="C446" s="172" t="s">
        <v>242</v>
      </c>
      <c r="D446" s="171" t="s">
        <v>809</v>
      </c>
      <c r="E446" s="666"/>
      <c r="F446" s="390"/>
      <c r="G446" s="761"/>
      <c r="H446" s="170">
        <v>230000</v>
      </c>
      <c r="I446" s="390"/>
      <c r="J446" s="390"/>
      <c r="K446" s="390"/>
      <c r="L446" s="390"/>
      <c r="M446" s="416">
        <f t="shared" si="119"/>
        <v>230000</v>
      </c>
      <c r="N446" s="170">
        <v>0</v>
      </c>
      <c r="O446" s="666"/>
      <c r="P446" s="666"/>
      <c r="Q446" s="666"/>
      <c r="R446" s="666"/>
      <c r="S446" s="152">
        <f t="shared" si="120"/>
        <v>0</v>
      </c>
      <c r="T446" s="170">
        <f t="shared" si="118"/>
        <v>230000</v>
      </c>
      <c r="U446" s="666"/>
      <c r="V446" s="666"/>
      <c r="W446" s="666"/>
      <c r="X446" s="666"/>
      <c r="Y446" s="152">
        <f t="shared" si="121"/>
        <v>230000</v>
      </c>
      <c r="Z446" s="666"/>
      <c r="AA446" s="666"/>
      <c r="AB446" s="666"/>
      <c r="AC446" s="666"/>
      <c r="AD446" s="666"/>
      <c r="AE446" s="666"/>
      <c r="AP446" s="666" t="s">
        <v>1404</v>
      </c>
    </row>
    <row r="447" spans="2:42" ht="60">
      <c r="B447" s="193">
        <f t="shared" si="117"/>
        <v>1.73</v>
      </c>
      <c r="C447" s="172" t="s">
        <v>243</v>
      </c>
      <c r="D447" s="171" t="s">
        <v>244</v>
      </c>
      <c r="E447" s="666"/>
      <c r="F447" s="390"/>
      <c r="G447" s="761"/>
      <c r="H447" s="170">
        <v>126967.02000000002</v>
      </c>
      <c r="I447" s="390"/>
      <c r="J447" s="390"/>
      <c r="K447" s="390"/>
      <c r="L447" s="390"/>
      <c r="M447" s="416">
        <f t="shared" si="119"/>
        <v>126967.02000000002</v>
      </c>
      <c r="N447" s="170">
        <f>85913.54+41053.48</f>
        <v>126967.01999999999</v>
      </c>
      <c r="O447" s="666"/>
      <c r="P447" s="666"/>
      <c r="Q447" s="666"/>
      <c r="R447" s="666"/>
      <c r="S447" s="152">
        <f t="shared" si="120"/>
        <v>126967.01999999999</v>
      </c>
      <c r="T447" s="381">
        <f t="shared" si="118"/>
        <v>0</v>
      </c>
      <c r="U447" s="666"/>
      <c r="V447" s="666"/>
      <c r="W447" s="666"/>
      <c r="X447" s="666"/>
      <c r="Y447" s="152">
        <f t="shared" si="121"/>
        <v>0</v>
      </c>
      <c r="Z447" s="666"/>
      <c r="AA447" s="666"/>
      <c r="AB447" s="666"/>
      <c r="AC447" s="666"/>
      <c r="AD447" s="666"/>
      <c r="AE447" s="666"/>
      <c r="AP447" s="666"/>
    </row>
    <row r="448" spans="2:42" ht="77.25">
      <c r="B448" s="193">
        <v>1.74</v>
      </c>
      <c r="C448" s="164" t="s">
        <v>246</v>
      </c>
      <c r="D448" s="171" t="s">
        <v>247</v>
      </c>
      <c r="E448" s="666"/>
      <c r="F448" s="390"/>
      <c r="G448" s="761"/>
      <c r="H448" s="170">
        <v>293379.15000000002</v>
      </c>
      <c r="I448" s="390"/>
      <c r="J448" s="390"/>
      <c r="K448" s="390"/>
      <c r="L448" s="390"/>
      <c r="M448" s="416">
        <f t="shared" si="119"/>
        <v>293379.15000000002</v>
      </c>
      <c r="N448" s="170">
        <v>281462.34000000003</v>
      </c>
      <c r="O448" s="666"/>
      <c r="P448" s="666"/>
      <c r="Q448" s="666"/>
      <c r="R448" s="666"/>
      <c r="S448" s="152">
        <f t="shared" si="120"/>
        <v>281462.34000000003</v>
      </c>
      <c r="T448" s="170">
        <f t="shared" si="118"/>
        <v>11916.809999999998</v>
      </c>
      <c r="U448" s="666"/>
      <c r="V448" s="666"/>
      <c r="W448" s="666"/>
      <c r="X448" s="666"/>
      <c r="Y448" s="152">
        <f t="shared" si="121"/>
        <v>11916.809999999998</v>
      </c>
      <c r="Z448" s="666"/>
      <c r="AA448" s="666"/>
      <c r="AB448" s="666"/>
      <c r="AC448" s="666"/>
      <c r="AD448" s="666"/>
      <c r="AE448" s="666"/>
      <c r="AP448" s="666"/>
    </row>
    <row r="449" spans="2:42" ht="75">
      <c r="B449" s="193">
        <f t="shared" si="117"/>
        <v>1.75</v>
      </c>
      <c r="C449" s="164" t="s">
        <v>248</v>
      </c>
      <c r="D449" s="171" t="s">
        <v>249</v>
      </c>
      <c r="E449" s="666"/>
      <c r="F449" s="390"/>
      <c r="G449" s="761"/>
      <c r="H449" s="170">
        <v>264916.57</v>
      </c>
      <c r="I449" s="390"/>
      <c r="J449" s="390"/>
      <c r="K449" s="390"/>
      <c r="L449" s="390"/>
      <c r="M449" s="416">
        <f t="shared" si="119"/>
        <v>264916.57</v>
      </c>
      <c r="N449" s="170">
        <v>254678.72</v>
      </c>
      <c r="O449" s="666"/>
      <c r="P449" s="666"/>
      <c r="Q449" s="666"/>
      <c r="R449" s="666"/>
      <c r="S449" s="152">
        <f t="shared" si="120"/>
        <v>254678.72</v>
      </c>
      <c r="T449" s="170">
        <f t="shared" si="118"/>
        <v>10237.850000000006</v>
      </c>
      <c r="U449" s="666"/>
      <c r="V449" s="666"/>
      <c r="W449" s="666"/>
      <c r="X449" s="666"/>
      <c r="Y449" s="152">
        <f t="shared" si="121"/>
        <v>10237.850000000006</v>
      </c>
      <c r="Z449" s="666"/>
      <c r="AA449" s="666"/>
      <c r="AB449" s="666"/>
      <c r="AC449" s="666"/>
      <c r="AD449" s="666"/>
      <c r="AE449" s="666"/>
      <c r="AP449" s="666"/>
    </row>
    <row r="450" spans="2:42" ht="45">
      <c r="B450" s="193">
        <f t="shared" si="117"/>
        <v>1.76</v>
      </c>
      <c r="C450" s="172" t="s">
        <v>250</v>
      </c>
      <c r="D450" s="171" t="s">
        <v>251</v>
      </c>
      <c r="E450" s="666"/>
      <c r="F450" s="390"/>
      <c r="G450" s="761"/>
      <c r="H450" s="170">
        <v>391492.15</v>
      </c>
      <c r="I450" s="390"/>
      <c r="J450" s="390"/>
      <c r="K450" s="390"/>
      <c r="L450" s="390"/>
      <c r="M450" s="416">
        <f t="shared" si="119"/>
        <v>391492.15</v>
      </c>
      <c r="N450" s="170">
        <v>344533.08</v>
      </c>
      <c r="O450" s="666"/>
      <c r="P450" s="666"/>
      <c r="Q450" s="666"/>
      <c r="R450" s="666"/>
      <c r="S450" s="152">
        <f t="shared" si="120"/>
        <v>344533.08</v>
      </c>
      <c r="T450" s="170">
        <f t="shared" si="118"/>
        <v>46959.070000000007</v>
      </c>
      <c r="U450" s="666"/>
      <c r="V450" s="666"/>
      <c r="W450" s="666"/>
      <c r="X450" s="666"/>
      <c r="Y450" s="152">
        <f t="shared" si="121"/>
        <v>46959.070000000007</v>
      </c>
      <c r="Z450" s="666"/>
      <c r="AA450" s="666"/>
      <c r="AB450" s="666"/>
      <c r="AC450" s="666"/>
      <c r="AD450" s="666"/>
      <c r="AE450" s="666"/>
      <c r="AP450" s="666" t="s">
        <v>1404</v>
      </c>
    </row>
    <row r="451" spans="2:42" ht="45.75">
      <c r="B451" s="193">
        <f t="shared" si="117"/>
        <v>1.77</v>
      </c>
      <c r="C451" s="172" t="s">
        <v>252</v>
      </c>
      <c r="D451" s="171" t="s">
        <v>810</v>
      </c>
      <c r="E451" s="666"/>
      <c r="F451" s="390"/>
      <c r="G451" s="761"/>
      <c r="H451" s="170">
        <v>195353.81</v>
      </c>
      <c r="I451" s="390"/>
      <c r="J451" s="390"/>
      <c r="K451" s="390"/>
      <c r="L451" s="390"/>
      <c r="M451" s="416">
        <f t="shared" si="119"/>
        <v>195353.81</v>
      </c>
      <c r="N451" s="170">
        <v>131764.04999999999</v>
      </c>
      <c r="O451" s="666"/>
      <c r="P451" s="666"/>
      <c r="Q451" s="666"/>
      <c r="R451" s="666"/>
      <c r="S451" s="152">
        <f t="shared" si="120"/>
        <v>131764.04999999999</v>
      </c>
      <c r="T451" s="170">
        <f t="shared" si="118"/>
        <v>63589.760000000009</v>
      </c>
      <c r="U451" s="666"/>
      <c r="V451" s="666"/>
      <c r="W451" s="666"/>
      <c r="X451" s="666"/>
      <c r="Y451" s="152">
        <f t="shared" si="121"/>
        <v>63589.760000000009</v>
      </c>
      <c r="Z451" s="666"/>
      <c r="AA451" s="666"/>
      <c r="AB451" s="666"/>
      <c r="AC451" s="666"/>
      <c r="AD451" s="666"/>
      <c r="AE451" s="666"/>
      <c r="AP451" s="666" t="s">
        <v>1404</v>
      </c>
    </row>
    <row r="452" spans="2:42" ht="45.75">
      <c r="B452" s="193">
        <v>1.78</v>
      </c>
      <c r="C452" s="172" t="s">
        <v>253</v>
      </c>
      <c r="D452" s="171" t="s">
        <v>811</v>
      </c>
      <c r="E452" s="666"/>
      <c r="F452" s="390"/>
      <c r="G452" s="761"/>
      <c r="H452" s="170">
        <f>281146.96-30990.13</f>
        <v>250156.83000000002</v>
      </c>
      <c r="I452" s="390"/>
      <c r="J452" s="390"/>
      <c r="K452" s="390"/>
      <c r="L452" s="390"/>
      <c r="M452" s="416">
        <f t="shared" si="119"/>
        <v>250156.83000000002</v>
      </c>
      <c r="N452" s="170">
        <f>240500.17+4328.27</f>
        <v>244828.44</v>
      </c>
      <c r="O452" s="666"/>
      <c r="P452" s="666"/>
      <c r="Q452" s="666"/>
      <c r="R452" s="666"/>
      <c r="S452" s="152">
        <f t="shared" si="120"/>
        <v>244828.44</v>
      </c>
      <c r="T452" s="170">
        <f t="shared" si="118"/>
        <v>5328.390000000014</v>
      </c>
      <c r="U452" s="666"/>
      <c r="V452" s="666"/>
      <c r="W452" s="666"/>
      <c r="X452" s="666"/>
      <c r="Y452" s="152">
        <f t="shared" si="121"/>
        <v>5328.390000000014</v>
      </c>
      <c r="Z452" s="666"/>
      <c r="AA452" s="666"/>
      <c r="AB452" s="666"/>
      <c r="AC452" s="666"/>
      <c r="AD452" s="666"/>
      <c r="AE452" s="666"/>
      <c r="AP452" s="666" t="s">
        <v>1404</v>
      </c>
    </row>
    <row r="453" spans="2:42" ht="46.5">
      <c r="B453" s="348">
        <v>1.79</v>
      </c>
      <c r="C453" s="172" t="s">
        <v>254</v>
      </c>
      <c r="D453" s="171" t="s">
        <v>813</v>
      </c>
      <c r="E453" s="666"/>
      <c r="F453" s="564" t="s">
        <v>871</v>
      </c>
      <c r="G453" s="564"/>
      <c r="H453" s="170">
        <v>714181.04</v>
      </c>
      <c r="I453" s="390"/>
      <c r="J453" s="390"/>
      <c r="K453" s="390"/>
      <c r="L453" s="390"/>
      <c r="M453" s="416">
        <f t="shared" si="119"/>
        <v>714181.04</v>
      </c>
      <c r="N453" s="170">
        <f>172017.39+347340.37+123129.74+71693.54</f>
        <v>714181.04</v>
      </c>
      <c r="O453" s="666"/>
      <c r="P453" s="666"/>
      <c r="Q453" s="666"/>
      <c r="R453" s="666"/>
      <c r="S453" s="152">
        <f t="shared" si="120"/>
        <v>714181.04</v>
      </c>
      <c r="T453" s="381">
        <f t="shared" si="118"/>
        <v>0</v>
      </c>
      <c r="U453" s="666"/>
      <c r="V453" s="666"/>
      <c r="W453" s="666"/>
      <c r="X453" s="666"/>
      <c r="Y453" s="152">
        <f t="shared" si="121"/>
        <v>0</v>
      </c>
      <c r="Z453" s="420">
        <f>615202.64+98978.4</f>
        <v>714181.04</v>
      </c>
      <c r="AA453" s="420">
        <v>44882.47</v>
      </c>
      <c r="AB453" s="420">
        <v>0</v>
      </c>
      <c r="AC453" s="420">
        <v>0</v>
      </c>
      <c r="AD453" s="420">
        <v>0</v>
      </c>
      <c r="AE453" s="420">
        <f>SUM(Z453:AD453)</f>
        <v>759063.51</v>
      </c>
      <c r="AP453" s="666"/>
    </row>
    <row r="454" spans="2:42" ht="45.75">
      <c r="B454" s="348" t="s">
        <v>812</v>
      </c>
      <c r="C454" s="172" t="s">
        <v>255</v>
      </c>
      <c r="D454" s="171" t="s">
        <v>814</v>
      </c>
      <c r="E454" s="666"/>
      <c r="F454" s="390"/>
      <c r="G454" s="761"/>
      <c r="H454" s="170">
        <v>219218.25</v>
      </c>
      <c r="I454" s="390"/>
      <c r="J454" s="390"/>
      <c r="K454" s="390"/>
      <c r="L454" s="390"/>
      <c r="M454" s="416">
        <f t="shared" si="119"/>
        <v>219218.25</v>
      </c>
      <c r="N454" s="170">
        <v>112731.68</v>
      </c>
      <c r="O454" s="666"/>
      <c r="P454" s="666"/>
      <c r="Q454" s="666"/>
      <c r="R454" s="666"/>
      <c r="S454" s="152">
        <f t="shared" si="120"/>
        <v>112731.68</v>
      </c>
      <c r="T454" s="170">
        <f t="shared" si="118"/>
        <v>106486.57</v>
      </c>
      <c r="U454" s="666"/>
      <c r="V454" s="666"/>
      <c r="W454" s="666"/>
      <c r="X454" s="666"/>
      <c r="Y454" s="152">
        <f t="shared" si="121"/>
        <v>106486.57</v>
      </c>
      <c r="Z454" s="666"/>
      <c r="AA454" s="666"/>
      <c r="AB454" s="666"/>
      <c r="AC454" s="666"/>
      <c r="AD454" s="666"/>
      <c r="AE454" s="666"/>
      <c r="AP454" s="666" t="s">
        <v>1404</v>
      </c>
    </row>
    <row r="455" spans="2:42" ht="77.25">
      <c r="B455" s="193">
        <f t="shared" si="117"/>
        <v>1.81</v>
      </c>
      <c r="C455" s="172" t="s">
        <v>256</v>
      </c>
      <c r="D455" s="171" t="s">
        <v>257</v>
      </c>
      <c r="E455" s="666"/>
      <c r="F455" s="390"/>
      <c r="G455" s="761"/>
      <c r="H455" s="170">
        <v>1199899.8799999999</v>
      </c>
      <c r="I455" s="390"/>
      <c r="J455" s="390"/>
      <c r="K455" s="390"/>
      <c r="L455" s="390"/>
      <c r="M455" s="416">
        <f t="shared" si="119"/>
        <v>1199899.8799999999</v>
      </c>
      <c r="N455" s="170">
        <f>150764.58+112873.48+124031.5+84508.03+160856.99+134945.9</f>
        <v>767980.48</v>
      </c>
      <c r="O455" s="666"/>
      <c r="P455" s="666"/>
      <c r="Q455" s="666"/>
      <c r="R455" s="666"/>
      <c r="S455" s="152">
        <f t="shared" si="120"/>
        <v>767980.48</v>
      </c>
      <c r="T455" s="170">
        <f t="shared" si="118"/>
        <v>431919.39999999991</v>
      </c>
      <c r="U455" s="666"/>
      <c r="V455" s="666"/>
      <c r="W455" s="666"/>
      <c r="X455" s="666"/>
      <c r="Y455" s="152">
        <f t="shared" si="121"/>
        <v>431919.39999999991</v>
      </c>
      <c r="Z455" s="666"/>
      <c r="AA455" s="666"/>
      <c r="AB455" s="666"/>
      <c r="AC455" s="666"/>
      <c r="AD455" s="666"/>
      <c r="AE455" s="666"/>
      <c r="AP455" s="666" t="s">
        <v>1406</v>
      </c>
    </row>
    <row r="456" spans="2:42" ht="30">
      <c r="B456" s="193">
        <f t="shared" si="117"/>
        <v>1.82</v>
      </c>
      <c r="C456" s="172" t="s">
        <v>258</v>
      </c>
      <c r="D456" s="171" t="s">
        <v>259</v>
      </c>
      <c r="E456" s="666"/>
      <c r="F456" s="390"/>
      <c r="G456" s="761"/>
      <c r="H456" s="170">
        <v>732587.63</v>
      </c>
      <c r="I456" s="390"/>
      <c r="J456" s="390"/>
      <c r="K456" s="390"/>
      <c r="L456" s="390"/>
      <c r="M456" s="416">
        <f t="shared" si="119"/>
        <v>732587.63</v>
      </c>
      <c r="N456" s="170">
        <f>263430.65+90196.09+36671.96+266196.67+76092.26</f>
        <v>732587.63</v>
      </c>
      <c r="O456" s="666"/>
      <c r="P456" s="666"/>
      <c r="Q456" s="666"/>
      <c r="R456" s="666"/>
      <c r="S456" s="152">
        <f t="shared" si="120"/>
        <v>732587.63</v>
      </c>
      <c r="T456" s="381">
        <f t="shared" si="118"/>
        <v>0</v>
      </c>
      <c r="U456" s="666"/>
      <c r="V456" s="666"/>
      <c r="W456" s="666"/>
      <c r="X456" s="666"/>
      <c r="Y456" s="152">
        <f t="shared" si="121"/>
        <v>0</v>
      </c>
      <c r="Z456" s="666"/>
      <c r="AA456" s="666"/>
      <c r="AB456" s="666"/>
      <c r="AC456" s="666"/>
      <c r="AD456" s="666"/>
      <c r="AE456" s="666"/>
      <c r="AP456" s="666"/>
    </row>
    <row r="457" spans="2:42" ht="82.5" customHeight="1">
      <c r="B457" s="193">
        <v>1.83</v>
      </c>
      <c r="C457" s="172"/>
      <c r="D457" s="171" t="s">
        <v>1136</v>
      </c>
      <c r="E457" s="666"/>
      <c r="F457" s="390"/>
      <c r="G457" s="791" t="s">
        <v>1474</v>
      </c>
      <c r="H457" s="170">
        <f>974375.08-13287.77-45555.71-121896.56-327942.96-37661.79-18729.22+914182.14-1029659.77-188221.7-105601.74</f>
        <v>0</v>
      </c>
      <c r="I457" s="390"/>
      <c r="J457" s="390"/>
      <c r="K457" s="390"/>
      <c r="L457" s="390"/>
      <c r="M457" s="416"/>
      <c r="N457" s="170"/>
      <c r="O457" s="666"/>
      <c r="P457" s="666"/>
      <c r="Q457" s="666"/>
      <c r="R457" s="666"/>
      <c r="S457" s="152"/>
      <c r="T457" s="170"/>
      <c r="U457" s="666"/>
      <c r="V457" s="666"/>
      <c r="W457" s="666"/>
      <c r="X457" s="666"/>
      <c r="Y457" s="152"/>
      <c r="Z457" s="666"/>
      <c r="AA457" s="666"/>
      <c r="AB457" s="666"/>
      <c r="AC457" s="666"/>
      <c r="AD457" s="666"/>
      <c r="AE457" s="666"/>
      <c r="AP457" s="666"/>
    </row>
    <row r="458" spans="2:42" ht="30">
      <c r="B458" s="193">
        <v>1.84</v>
      </c>
      <c r="C458" s="544" t="s">
        <v>1135</v>
      </c>
      <c r="D458" s="493" t="s">
        <v>454</v>
      </c>
      <c r="E458" s="666"/>
      <c r="F458" s="390"/>
      <c r="G458" s="761"/>
      <c r="H458" s="170">
        <v>45555.71</v>
      </c>
      <c r="I458" s="390"/>
      <c r="J458" s="390"/>
      <c r="K458" s="390"/>
      <c r="L458" s="390"/>
      <c r="M458" s="416">
        <f t="shared" si="119"/>
        <v>45555.71</v>
      </c>
      <c r="N458" s="27">
        <v>45555.71</v>
      </c>
      <c r="O458" s="666"/>
      <c r="P458" s="666"/>
      <c r="Q458" s="666"/>
      <c r="R458" s="666"/>
      <c r="S458" s="152">
        <f>SUM(N458:R458)</f>
        <v>45555.71</v>
      </c>
      <c r="T458" s="170">
        <f t="shared" si="118"/>
        <v>0</v>
      </c>
      <c r="U458" s="666"/>
      <c r="V458" s="666"/>
      <c r="W458" s="666"/>
      <c r="X458" s="666"/>
      <c r="Y458" s="152">
        <f t="shared" si="121"/>
        <v>0</v>
      </c>
      <c r="Z458" s="666"/>
      <c r="AA458" s="666"/>
      <c r="AB458" s="666"/>
      <c r="AC458" s="666"/>
      <c r="AD458" s="666"/>
      <c r="AE458" s="666"/>
      <c r="AF458">
        <f>201617.86-13396.16</f>
        <v>188221.69999999998</v>
      </c>
      <c r="AP458" s="666"/>
    </row>
    <row r="459" spans="2:42" ht="15.75">
      <c r="B459" s="351" t="s">
        <v>29</v>
      </c>
      <c r="C459" s="352"/>
      <c r="D459" s="353" t="s">
        <v>260</v>
      </c>
      <c r="E459" s="353" t="s">
        <v>29</v>
      </c>
      <c r="F459" s="565" t="s">
        <v>29</v>
      </c>
      <c r="G459" s="565"/>
      <c r="H459" s="354">
        <f t="shared" ref="H459:AE459" si="122">SUM(H375:H458)</f>
        <v>45568677.31000001</v>
      </c>
      <c r="I459" s="354">
        <f t="shared" si="122"/>
        <v>0</v>
      </c>
      <c r="J459" s="354">
        <f t="shared" si="122"/>
        <v>0</v>
      </c>
      <c r="K459" s="354">
        <f t="shared" si="122"/>
        <v>0</v>
      </c>
      <c r="L459" s="354">
        <f t="shared" si="122"/>
        <v>0</v>
      </c>
      <c r="M459" s="354">
        <f t="shared" si="122"/>
        <v>45568677.31000001</v>
      </c>
      <c r="N459" s="354">
        <f t="shared" si="122"/>
        <v>42526910.269999988</v>
      </c>
      <c r="O459" s="354">
        <f t="shared" si="122"/>
        <v>0</v>
      </c>
      <c r="P459" s="354">
        <f t="shared" si="122"/>
        <v>0</v>
      </c>
      <c r="Q459" s="354">
        <f t="shared" si="122"/>
        <v>0</v>
      </c>
      <c r="R459" s="354">
        <f t="shared" si="122"/>
        <v>0</v>
      </c>
      <c r="S459" s="354">
        <f t="shared" si="122"/>
        <v>42526910.269999988</v>
      </c>
      <c r="T459" s="354">
        <f t="shared" si="122"/>
        <v>3041767.0400000024</v>
      </c>
      <c r="U459" s="354">
        <f t="shared" si="122"/>
        <v>0</v>
      </c>
      <c r="V459" s="354">
        <f t="shared" si="122"/>
        <v>0</v>
      </c>
      <c r="W459" s="354">
        <f t="shared" si="122"/>
        <v>0</v>
      </c>
      <c r="X459" s="354">
        <f t="shared" si="122"/>
        <v>0</v>
      </c>
      <c r="Y459" s="354">
        <f t="shared" si="122"/>
        <v>3041767.0400000024</v>
      </c>
      <c r="Z459" s="354">
        <f t="shared" si="122"/>
        <v>6358454.1400000006</v>
      </c>
      <c r="AA459" s="354">
        <f t="shared" si="122"/>
        <v>387508.11</v>
      </c>
      <c r="AB459" s="354">
        <f t="shared" si="122"/>
        <v>272391.32</v>
      </c>
      <c r="AC459" s="354">
        <f t="shared" si="122"/>
        <v>2200000</v>
      </c>
      <c r="AD459" s="354">
        <f t="shared" si="122"/>
        <v>0</v>
      </c>
      <c r="AE459" s="354">
        <f t="shared" si="122"/>
        <v>9218353.5700000003</v>
      </c>
      <c r="AP459" s="666"/>
    </row>
    <row r="460" spans="2:42" s="138" customFormat="1" ht="15.75">
      <c r="B460" s="775"/>
      <c r="C460" s="798"/>
      <c r="D460" s="799"/>
      <c r="E460" s="799"/>
      <c r="F460" s="775"/>
      <c r="G460" s="775"/>
      <c r="H460" s="801">
        <v>45568677.31000001</v>
      </c>
      <c r="I460" s="800"/>
      <c r="J460" s="800"/>
      <c r="K460" s="800"/>
      <c r="L460" s="800"/>
      <c r="M460" s="800"/>
      <c r="N460" s="800"/>
      <c r="O460" s="800"/>
      <c r="P460" s="800"/>
      <c r="Q460" s="800"/>
      <c r="R460" s="800"/>
      <c r="S460" s="800"/>
      <c r="T460" s="800"/>
      <c r="U460" s="800"/>
      <c r="V460" s="800"/>
      <c r="W460" s="800"/>
      <c r="X460" s="800"/>
      <c r="Y460" s="800"/>
      <c r="Z460" s="800"/>
      <c r="AA460" s="800"/>
      <c r="AB460" s="800"/>
      <c r="AC460" s="800"/>
      <c r="AD460" s="800"/>
      <c r="AE460" s="800"/>
      <c r="AP460" s="667"/>
    </row>
    <row r="461" spans="2:42" s="138" customFormat="1" ht="15.75">
      <c r="B461" s="775"/>
      <c r="C461" s="798"/>
      <c r="D461" s="799"/>
      <c r="E461" s="799"/>
      <c r="F461" s="775"/>
      <c r="G461" s="775"/>
      <c r="H461" s="801">
        <f>H459-H460</f>
        <v>0</v>
      </c>
      <c r="I461" s="800"/>
      <c r="J461" s="800"/>
      <c r="K461" s="800"/>
      <c r="L461" s="800"/>
      <c r="M461" s="800"/>
      <c r="N461" s="800"/>
      <c r="O461" s="800"/>
      <c r="P461" s="800"/>
      <c r="Q461" s="800"/>
      <c r="R461" s="800"/>
      <c r="S461" s="800"/>
      <c r="T461" s="800"/>
      <c r="U461" s="800"/>
      <c r="V461" s="800"/>
      <c r="W461" s="800"/>
      <c r="X461" s="800"/>
      <c r="Y461" s="800"/>
      <c r="Z461" s="800"/>
      <c r="AA461" s="800"/>
      <c r="AB461" s="800"/>
      <c r="AC461" s="800"/>
      <c r="AD461" s="800"/>
      <c r="AE461" s="800"/>
      <c r="AP461" s="667"/>
    </row>
    <row r="462" spans="2:42" ht="30">
      <c r="B462" s="355"/>
      <c r="C462" s="64"/>
      <c r="D462" s="400"/>
      <c r="E462"/>
      <c r="F462" s="386"/>
      <c r="G462" s="760"/>
      <c r="H462" s="378"/>
      <c r="I462" s="386"/>
      <c r="J462" s="386"/>
      <c r="K462" s="386"/>
      <c r="L462" s="386"/>
      <c r="M462" s="386"/>
      <c r="N462" s="378"/>
      <c r="O462"/>
      <c r="P462"/>
      <c r="T462" s="378"/>
      <c r="AP462" s="666"/>
    </row>
    <row r="463" spans="2:42" ht="27">
      <c r="B463" s="1021" t="s">
        <v>261</v>
      </c>
      <c r="C463" s="1021"/>
      <c r="D463" s="1021"/>
      <c r="E463" s="399"/>
      <c r="F463" s="566"/>
      <c r="G463" s="765"/>
      <c r="H463" s="399"/>
      <c r="I463" s="398"/>
      <c r="J463" s="398"/>
      <c r="K463" s="398"/>
      <c r="L463" s="398"/>
      <c r="M463" s="398"/>
      <c r="N463" s="169"/>
      <c r="O463" s="398"/>
      <c r="P463" s="398"/>
      <c r="Q463" s="398"/>
      <c r="R463" s="398"/>
      <c r="S463" s="398"/>
      <c r="T463" s="169"/>
      <c r="U463" s="398"/>
      <c r="V463" s="398"/>
      <c r="W463" s="398"/>
      <c r="X463" s="398"/>
      <c r="Y463" s="398"/>
      <c r="Z463" s="398"/>
      <c r="AA463" s="398"/>
      <c r="AB463" s="398"/>
      <c r="AC463" s="398"/>
      <c r="AD463" s="398"/>
      <c r="AE463" s="398"/>
      <c r="AP463" s="666"/>
    </row>
    <row r="464" spans="2:42" ht="15.75">
      <c r="B464" s="173"/>
      <c r="C464" s="173"/>
      <c r="D464" s="167" t="s">
        <v>815</v>
      </c>
      <c r="E464" s="666"/>
      <c r="F464" s="567" t="s">
        <v>29</v>
      </c>
      <c r="G464" s="766"/>
      <c r="H464" s="215">
        <f>SUM(H465:H469)</f>
        <v>445815.09</v>
      </c>
      <c r="I464" s="215" t="s">
        <v>29</v>
      </c>
      <c r="J464" s="215" t="s">
        <v>29</v>
      </c>
      <c r="K464" s="215" t="s">
        <v>29</v>
      </c>
      <c r="L464" s="215" t="s">
        <v>29</v>
      </c>
      <c r="M464" s="215" t="s">
        <v>29</v>
      </c>
      <c r="N464" s="215" t="s">
        <v>29</v>
      </c>
      <c r="O464" s="215" t="s">
        <v>29</v>
      </c>
      <c r="P464" s="215" t="s">
        <v>29</v>
      </c>
      <c r="Q464" s="215" t="s">
        <v>29</v>
      </c>
      <c r="R464" s="215" t="s">
        <v>29</v>
      </c>
      <c r="S464" s="215" t="s">
        <v>29</v>
      </c>
      <c r="T464" s="215" t="s">
        <v>29</v>
      </c>
      <c r="U464" s="215" t="s">
        <v>29</v>
      </c>
      <c r="V464" s="215" t="s">
        <v>29</v>
      </c>
      <c r="W464" s="215" t="s">
        <v>29</v>
      </c>
      <c r="X464" s="215" t="s">
        <v>29</v>
      </c>
      <c r="Y464" s="215" t="s">
        <v>29</v>
      </c>
      <c r="Z464" s="215" t="s">
        <v>29</v>
      </c>
      <c r="AA464" s="215" t="s">
        <v>29</v>
      </c>
      <c r="AB464" s="215" t="s">
        <v>29</v>
      </c>
      <c r="AC464" s="215" t="s">
        <v>29</v>
      </c>
      <c r="AD464" s="215" t="s">
        <v>29</v>
      </c>
      <c r="AE464" s="215" t="s">
        <v>29</v>
      </c>
      <c r="AP464" s="666"/>
    </row>
    <row r="465" spans="2:42" ht="45">
      <c r="B465" s="193">
        <v>1</v>
      </c>
      <c r="C465" s="172" t="s">
        <v>262</v>
      </c>
      <c r="D465" s="145" t="s">
        <v>263</v>
      </c>
      <c r="E465" s="666"/>
      <c r="F465" s="390"/>
      <c r="G465" s="761"/>
      <c r="H465" s="350">
        <v>36195.179999999993</v>
      </c>
      <c r="I465" s="390"/>
      <c r="J465" s="390"/>
      <c r="K465" s="390"/>
      <c r="L465" s="390"/>
      <c r="M465" s="415">
        <f>SUM(H465:L465)</f>
        <v>36195.179999999993</v>
      </c>
      <c r="N465" s="350">
        <v>36195.18</v>
      </c>
      <c r="O465" s="666"/>
      <c r="P465" s="666"/>
      <c r="Q465" s="666"/>
      <c r="R465" s="666"/>
      <c r="S465" s="152">
        <f>SUM(N465:R465)</f>
        <v>36195.18</v>
      </c>
      <c r="T465" s="382">
        <f>+H465-N465</f>
        <v>0</v>
      </c>
      <c r="U465" s="666"/>
      <c r="V465" s="666"/>
      <c r="W465" s="666"/>
      <c r="X465" s="666"/>
      <c r="Y465" s="205">
        <f>SUM(T465:X465)</f>
        <v>0</v>
      </c>
      <c r="Z465" s="666"/>
      <c r="AA465" s="666"/>
      <c r="AB465" s="666"/>
      <c r="AC465" s="666"/>
      <c r="AD465" s="666"/>
      <c r="AE465" s="666"/>
      <c r="AP465" s="666"/>
    </row>
    <row r="466" spans="2:42" ht="45">
      <c r="B466" s="193">
        <v>2</v>
      </c>
      <c r="C466" s="172" t="s">
        <v>264</v>
      </c>
      <c r="D466" s="145" t="s">
        <v>265</v>
      </c>
      <c r="E466" s="666"/>
      <c r="F466" s="390"/>
      <c r="G466" s="761"/>
      <c r="H466" s="350">
        <v>36195.180000000008</v>
      </c>
      <c r="I466" s="390"/>
      <c r="J466" s="390"/>
      <c r="K466" s="390"/>
      <c r="L466" s="390"/>
      <c r="M466" s="415">
        <f t="shared" ref="M466:M469" si="123">SUM(H466:L466)</f>
        <v>36195.180000000008</v>
      </c>
      <c r="N466" s="350">
        <v>36195.18</v>
      </c>
      <c r="O466" s="666"/>
      <c r="P466" s="666"/>
      <c r="Q466" s="666"/>
      <c r="R466" s="666"/>
      <c r="S466" s="152">
        <f t="shared" ref="S466:S469" si="124">SUM(N466:R466)</f>
        <v>36195.18</v>
      </c>
      <c r="T466" s="382">
        <f>+H466-N466</f>
        <v>0</v>
      </c>
      <c r="U466" s="666"/>
      <c r="V466" s="666"/>
      <c r="W466" s="666"/>
      <c r="X466" s="666"/>
      <c r="Y466" s="205">
        <f t="shared" ref="Y466:Y469" si="125">SUM(T466:X466)</f>
        <v>0</v>
      </c>
      <c r="Z466" s="666"/>
      <c r="AA466" s="666"/>
      <c r="AB466" s="666"/>
      <c r="AC466" s="666"/>
      <c r="AD466" s="666"/>
      <c r="AE466" s="666"/>
      <c r="AP466" s="666"/>
    </row>
    <row r="467" spans="2:42" ht="60.75">
      <c r="B467" s="193">
        <v>3</v>
      </c>
      <c r="C467" s="168" t="s">
        <v>266</v>
      </c>
      <c r="D467" s="396" t="s">
        <v>816</v>
      </c>
      <c r="E467" s="666"/>
      <c r="F467" s="390"/>
      <c r="G467" s="761"/>
      <c r="H467" s="350">
        <v>121433.04</v>
      </c>
      <c r="I467" s="390"/>
      <c r="J467" s="390"/>
      <c r="K467" s="390"/>
      <c r="L467" s="390"/>
      <c r="M467" s="415">
        <f t="shared" si="123"/>
        <v>121433.04</v>
      </c>
      <c r="N467" s="350">
        <v>121433.04</v>
      </c>
      <c r="O467" s="666"/>
      <c r="P467" s="666"/>
      <c r="Q467" s="666"/>
      <c r="R467" s="666"/>
      <c r="S467" s="152">
        <f t="shared" si="124"/>
        <v>121433.04</v>
      </c>
      <c r="T467" s="350">
        <f>+H467-N467</f>
        <v>0</v>
      </c>
      <c r="U467" s="666"/>
      <c r="V467" s="666"/>
      <c r="W467" s="666"/>
      <c r="X467" s="666"/>
      <c r="Y467" s="152">
        <f t="shared" si="125"/>
        <v>0</v>
      </c>
      <c r="Z467" s="666"/>
      <c r="AA467" s="666"/>
      <c r="AB467" s="666"/>
      <c r="AC467" s="666"/>
      <c r="AD467" s="666"/>
      <c r="AE467" s="666"/>
      <c r="AP467" s="666"/>
    </row>
    <row r="468" spans="2:42" ht="45">
      <c r="B468" s="193">
        <v>4</v>
      </c>
      <c r="C468" s="492" t="s">
        <v>190</v>
      </c>
      <c r="D468" s="397" t="s">
        <v>817</v>
      </c>
      <c r="E468" s="666"/>
      <c r="F468" s="390"/>
      <c r="G468" s="761"/>
      <c r="H468" s="155">
        <v>243532.51</v>
      </c>
      <c r="I468" s="390"/>
      <c r="J468" s="390"/>
      <c r="K468" s="390"/>
      <c r="L468" s="390"/>
      <c r="M468" s="415">
        <f t="shared" si="123"/>
        <v>243532.51</v>
      </c>
      <c r="N468" s="155">
        <v>243532.51</v>
      </c>
      <c r="O468" s="666"/>
      <c r="P468" s="666"/>
      <c r="Q468" s="666"/>
      <c r="R468" s="666"/>
      <c r="S468" s="152">
        <f t="shared" si="124"/>
        <v>243532.51</v>
      </c>
      <c r="T468" s="384">
        <f>+H468-N468</f>
        <v>0</v>
      </c>
      <c r="U468" s="666"/>
      <c r="V468" s="666"/>
      <c r="W468" s="666"/>
      <c r="X468" s="666"/>
      <c r="Y468" s="152">
        <f t="shared" si="125"/>
        <v>0</v>
      </c>
      <c r="Z468" s="666"/>
      <c r="AA468" s="666"/>
      <c r="AB468" s="666"/>
      <c r="AC468" s="666"/>
      <c r="AD468" s="666"/>
      <c r="AE468" s="666"/>
      <c r="AP468" s="666"/>
    </row>
    <row r="469" spans="2:42" ht="45">
      <c r="B469" s="193">
        <v>5</v>
      </c>
      <c r="C469" s="492" t="s">
        <v>145</v>
      </c>
      <c r="D469" s="389" t="s">
        <v>146</v>
      </c>
      <c r="E469" s="666"/>
      <c r="F469" s="390"/>
      <c r="G469" s="761"/>
      <c r="H469" s="174">
        <f>129892.22-121433.04</f>
        <v>8459.1800000000076</v>
      </c>
      <c r="I469" s="390"/>
      <c r="J469" s="390"/>
      <c r="K469" s="390"/>
      <c r="L469" s="390"/>
      <c r="M469" s="415">
        <f t="shared" si="123"/>
        <v>8459.1800000000076</v>
      </c>
      <c r="N469" s="174">
        <v>8459.18</v>
      </c>
      <c r="O469" s="666"/>
      <c r="P469" s="666"/>
      <c r="Q469" s="666"/>
      <c r="R469" s="666"/>
      <c r="S469" s="152">
        <f t="shared" si="124"/>
        <v>8459.18</v>
      </c>
      <c r="T469" s="383">
        <f>+H469-N469</f>
        <v>0</v>
      </c>
      <c r="U469" s="666"/>
      <c r="V469" s="666"/>
      <c r="W469" s="666"/>
      <c r="X469" s="666"/>
      <c r="Y469" s="205">
        <f t="shared" si="125"/>
        <v>0</v>
      </c>
      <c r="Z469" s="666"/>
      <c r="AA469" s="666"/>
      <c r="AB469" s="666"/>
      <c r="AC469" s="666"/>
      <c r="AD469" s="666"/>
      <c r="AE469" s="666"/>
      <c r="AP469" s="666"/>
    </row>
    <row r="470" spans="2:42" ht="16.5" thickBot="1">
      <c r="B470" s="351" t="s">
        <v>29</v>
      </c>
      <c r="C470" s="352"/>
      <c r="D470" s="353" t="s">
        <v>267</v>
      </c>
      <c r="E470" s="194" t="s">
        <v>29</v>
      </c>
      <c r="F470" s="568">
        <f>SUM(F465:F469)</f>
        <v>0</v>
      </c>
      <c r="G470" s="767"/>
      <c r="H470" s="354">
        <f>SUM(H465:H469)</f>
        <v>445815.09</v>
      </c>
      <c r="I470" s="354">
        <f t="shared" ref="I470:AE470" si="126">SUM(I465:I469)</f>
        <v>0</v>
      </c>
      <c r="J470" s="354">
        <f t="shared" si="126"/>
        <v>0</v>
      </c>
      <c r="K470" s="354">
        <f t="shared" si="126"/>
        <v>0</v>
      </c>
      <c r="L470" s="354">
        <f t="shared" si="126"/>
        <v>0</v>
      </c>
      <c r="M470" s="354">
        <f t="shared" si="126"/>
        <v>445815.09</v>
      </c>
      <c r="N470" s="354">
        <f t="shared" si="126"/>
        <v>445815.09</v>
      </c>
      <c r="O470" s="354">
        <f t="shared" si="126"/>
        <v>0</v>
      </c>
      <c r="P470" s="354">
        <f t="shared" si="126"/>
        <v>0</v>
      </c>
      <c r="Q470" s="354">
        <f t="shared" si="126"/>
        <v>0</v>
      </c>
      <c r="R470" s="354">
        <f t="shared" si="126"/>
        <v>0</v>
      </c>
      <c r="S470" s="354">
        <f t="shared" si="126"/>
        <v>445815.09</v>
      </c>
      <c r="T470" s="354">
        <f t="shared" si="126"/>
        <v>0</v>
      </c>
      <c r="U470" s="354">
        <f t="shared" si="126"/>
        <v>0</v>
      </c>
      <c r="V470" s="354">
        <f t="shared" si="126"/>
        <v>0</v>
      </c>
      <c r="W470" s="354">
        <f t="shared" si="126"/>
        <v>0</v>
      </c>
      <c r="X470" s="354">
        <f t="shared" si="126"/>
        <v>0</v>
      </c>
      <c r="Y470" s="354">
        <f t="shared" si="126"/>
        <v>0</v>
      </c>
      <c r="Z470" s="354">
        <f t="shared" si="126"/>
        <v>0</v>
      </c>
      <c r="AA470" s="354">
        <f t="shared" si="126"/>
        <v>0</v>
      </c>
      <c r="AB470" s="354">
        <f t="shared" si="126"/>
        <v>0</v>
      </c>
      <c r="AC470" s="354">
        <f t="shared" si="126"/>
        <v>0</v>
      </c>
      <c r="AD470" s="354">
        <f t="shared" si="126"/>
        <v>0</v>
      </c>
      <c r="AE470" s="354">
        <f t="shared" si="126"/>
        <v>0</v>
      </c>
      <c r="AP470" s="666"/>
    </row>
    <row r="471" spans="2:42" ht="30">
      <c r="B471" s="355"/>
      <c r="C471" s="64"/>
      <c r="D471" s="356"/>
      <c r="E471"/>
      <c r="F471" s="386"/>
      <c r="G471" s="760"/>
      <c r="H471" s="357"/>
      <c r="I471" s="386"/>
      <c r="J471" s="386"/>
      <c r="K471" s="386"/>
      <c r="L471" s="386"/>
      <c r="M471" s="386"/>
      <c r="N471" s="357"/>
      <c r="O471"/>
      <c r="P471"/>
      <c r="T471" s="357"/>
      <c r="AP471" s="666"/>
    </row>
    <row r="472" spans="2:42" ht="30">
      <c r="B472" s="1022" t="s">
        <v>268</v>
      </c>
      <c r="C472" s="1022"/>
      <c r="D472" s="1022"/>
      <c r="E472" s="391"/>
      <c r="F472" s="392"/>
      <c r="G472" s="768"/>
      <c r="H472" s="395"/>
      <c r="I472" s="393"/>
      <c r="J472" s="393"/>
      <c r="K472" s="393"/>
      <c r="L472" s="393"/>
      <c r="M472" s="393"/>
      <c r="N472" s="225"/>
      <c r="O472" s="394"/>
      <c r="P472" s="394"/>
      <c r="Q472" s="394"/>
      <c r="R472" s="394"/>
      <c r="S472" s="394"/>
      <c r="T472" s="225"/>
      <c r="U472" s="394"/>
      <c r="V472" s="394"/>
      <c r="W472" s="394"/>
      <c r="X472" s="394"/>
      <c r="Y472" s="394"/>
      <c r="Z472" s="394"/>
      <c r="AA472" s="394"/>
      <c r="AB472" s="394"/>
      <c r="AC472" s="394"/>
      <c r="AD472" s="394"/>
      <c r="AE472" s="394"/>
      <c r="AP472" s="666"/>
    </row>
    <row r="473" spans="2:42" ht="15.75">
      <c r="B473" s="214"/>
      <c r="C473" s="214"/>
      <c r="D473" s="388"/>
      <c r="E473" s="388"/>
      <c r="F473" s="569"/>
      <c r="G473" s="769"/>
      <c r="H473" s="215">
        <f>SUM(H474:H476)</f>
        <v>111420.73000000001</v>
      </c>
      <c r="I473" s="215" t="s">
        <v>29</v>
      </c>
      <c r="J473" s="215" t="s">
        <v>29</v>
      </c>
      <c r="K473" s="215" t="s">
        <v>29</v>
      </c>
      <c r="L473" s="215" t="s">
        <v>29</v>
      </c>
      <c r="M473" s="215" t="s">
        <v>29</v>
      </c>
      <c r="N473" s="215" t="s">
        <v>29</v>
      </c>
      <c r="O473" s="215" t="s">
        <v>29</v>
      </c>
      <c r="P473" s="215" t="s">
        <v>29</v>
      </c>
      <c r="Q473" s="215" t="s">
        <v>29</v>
      </c>
      <c r="R473" s="215" t="s">
        <v>29</v>
      </c>
      <c r="S473" s="215" t="s">
        <v>29</v>
      </c>
      <c r="T473" s="215" t="s">
        <v>29</v>
      </c>
      <c r="U473" s="215" t="s">
        <v>29</v>
      </c>
      <c r="V473" s="215" t="s">
        <v>29</v>
      </c>
      <c r="W473" s="215" t="s">
        <v>29</v>
      </c>
      <c r="X473" s="215" t="s">
        <v>29</v>
      </c>
      <c r="Y473" s="215" t="s">
        <v>29</v>
      </c>
      <c r="Z473" s="215" t="s">
        <v>29</v>
      </c>
      <c r="AA473" s="215" t="s">
        <v>29</v>
      </c>
      <c r="AB473" s="215" t="s">
        <v>29</v>
      </c>
      <c r="AC473" s="215" t="s">
        <v>29</v>
      </c>
      <c r="AD473" s="215" t="s">
        <v>29</v>
      </c>
      <c r="AE473" s="215" t="s">
        <v>29</v>
      </c>
      <c r="AP473" s="666"/>
    </row>
    <row r="474" spans="2:42" ht="45">
      <c r="B474" s="193">
        <v>1</v>
      </c>
      <c r="C474" s="492" t="s">
        <v>145</v>
      </c>
      <c r="D474" s="389" t="s">
        <v>146</v>
      </c>
      <c r="E474" s="666"/>
      <c r="F474" s="390"/>
      <c r="G474" s="761"/>
      <c r="H474" s="174">
        <v>40614.99</v>
      </c>
      <c r="I474" s="390"/>
      <c r="J474" s="390"/>
      <c r="K474" s="390"/>
      <c r="L474" s="390"/>
      <c r="M474" s="415">
        <f>SUM(H474:L474)</f>
        <v>40614.99</v>
      </c>
      <c r="N474" s="174">
        <v>40614.99</v>
      </c>
      <c r="O474" s="666"/>
      <c r="P474" s="666"/>
      <c r="Q474" s="666"/>
      <c r="R474" s="666"/>
      <c r="S474" s="152">
        <f>SUM(N474:R474)</f>
        <v>40614.99</v>
      </c>
      <c r="T474" s="383">
        <f>+H474-N474</f>
        <v>0</v>
      </c>
      <c r="U474" s="666"/>
      <c r="V474" s="666"/>
      <c r="W474" s="666"/>
      <c r="X474" s="666"/>
      <c r="Y474" s="205">
        <f>SUM(T474:X474)</f>
        <v>0</v>
      </c>
      <c r="Z474" s="666"/>
      <c r="AA474" s="666"/>
      <c r="AB474" s="666"/>
      <c r="AC474" s="666"/>
      <c r="AD474" s="666"/>
      <c r="AE474" s="666"/>
      <c r="AP474" s="666"/>
    </row>
    <row r="475" spans="2:42" ht="30">
      <c r="B475" s="193">
        <v>2</v>
      </c>
      <c r="C475" s="492" t="s">
        <v>149</v>
      </c>
      <c r="D475" s="389" t="s">
        <v>150</v>
      </c>
      <c r="E475" s="666"/>
      <c r="F475" s="390"/>
      <c r="G475" s="761"/>
      <c r="H475" s="174">
        <v>70805.740000000005</v>
      </c>
      <c r="I475" s="390"/>
      <c r="J475" s="390"/>
      <c r="K475" s="390"/>
      <c r="L475" s="390"/>
      <c r="M475" s="415">
        <f t="shared" ref="M475:M476" si="127">SUM(H475:L475)</f>
        <v>70805.740000000005</v>
      </c>
      <c r="N475" s="174">
        <v>70805.740000000005</v>
      </c>
      <c r="O475" s="666"/>
      <c r="P475" s="666"/>
      <c r="Q475" s="666"/>
      <c r="R475" s="666"/>
      <c r="S475" s="152">
        <f t="shared" ref="S475:S476" si="128">SUM(N475:R475)</f>
        <v>70805.740000000005</v>
      </c>
      <c r="T475" s="383">
        <f>+H475-N475</f>
        <v>0</v>
      </c>
      <c r="U475" s="666"/>
      <c r="V475" s="666"/>
      <c r="W475" s="666"/>
      <c r="X475" s="666"/>
      <c r="Y475" s="205">
        <f t="shared" ref="Y475:Y476" si="129">SUM(T475:X475)</f>
        <v>0</v>
      </c>
      <c r="Z475" s="666"/>
      <c r="AA475" s="666"/>
      <c r="AB475" s="666"/>
      <c r="AC475" s="666"/>
      <c r="AD475" s="666"/>
      <c r="AE475" s="666"/>
      <c r="AP475" s="666"/>
    </row>
    <row r="476" spans="2:42" ht="30">
      <c r="B476" s="173"/>
      <c r="C476" s="492"/>
      <c r="D476" s="146"/>
      <c r="E476" s="666"/>
      <c r="F476" s="390"/>
      <c r="G476" s="761"/>
      <c r="H476" s="174"/>
      <c r="I476" s="390"/>
      <c r="J476" s="390"/>
      <c r="K476" s="390"/>
      <c r="L476" s="390"/>
      <c r="M476" s="415">
        <f t="shared" si="127"/>
        <v>0</v>
      </c>
      <c r="N476" s="379"/>
      <c r="O476" s="666"/>
      <c r="P476" s="666"/>
      <c r="Q476" s="666"/>
      <c r="R476" s="666"/>
      <c r="S476" s="152">
        <f t="shared" si="128"/>
        <v>0</v>
      </c>
      <c r="T476" s="379"/>
      <c r="U476" s="666"/>
      <c r="V476" s="666"/>
      <c r="W476" s="666"/>
      <c r="X476" s="666"/>
      <c r="Y476" s="152">
        <f t="shared" si="129"/>
        <v>0</v>
      </c>
      <c r="Z476" s="666"/>
      <c r="AA476" s="666"/>
      <c r="AB476" s="666"/>
      <c r="AC476" s="666"/>
      <c r="AD476" s="666"/>
      <c r="AE476" s="666"/>
      <c r="AP476" s="666"/>
    </row>
    <row r="477" spans="2:42" ht="15.75">
      <c r="B477" s="351" t="s">
        <v>29</v>
      </c>
      <c r="C477" s="352"/>
      <c r="D477" s="353" t="s">
        <v>269</v>
      </c>
      <c r="E477" s="354">
        <f t="shared" ref="E477:F477" si="130">SUM(E474:E476)</f>
        <v>0</v>
      </c>
      <c r="F477" s="568">
        <f t="shared" si="130"/>
        <v>0</v>
      </c>
      <c r="G477" s="767"/>
      <c r="H477" s="354">
        <f>SUM(H474:H476)</f>
        <v>111420.73000000001</v>
      </c>
      <c r="I477" s="354">
        <f t="shared" ref="I477:AE477" si="131">SUM(I474:I476)</f>
        <v>0</v>
      </c>
      <c r="J477" s="354">
        <f t="shared" si="131"/>
        <v>0</v>
      </c>
      <c r="K477" s="354">
        <f t="shared" si="131"/>
        <v>0</v>
      </c>
      <c r="L477" s="354">
        <f t="shared" si="131"/>
        <v>0</v>
      </c>
      <c r="M477" s="354">
        <f t="shared" si="131"/>
        <v>111420.73000000001</v>
      </c>
      <c r="N477" s="354">
        <f t="shared" si="131"/>
        <v>111420.73000000001</v>
      </c>
      <c r="O477" s="354">
        <f t="shared" si="131"/>
        <v>0</v>
      </c>
      <c r="P477" s="354">
        <f t="shared" si="131"/>
        <v>0</v>
      </c>
      <c r="Q477" s="354">
        <f t="shared" si="131"/>
        <v>0</v>
      </c>
      <c r="R477" s="354">
        <f t="shared" si="131"/>
        <v>0</v>
      </c>
      <c r="S477" s="354">
        <f t="shared" si="131"/>
        <v>111420.73000000001</v>
      </c>
      <c r="T477" s="354">
        <f t="shared" si="131"/>
        <v>0</v>
      </c>
      <c r="U477" s="354">
        <f t="shared" si="131"/>
        <v>0</v>
      </c>
      <c r="V477" s="354">
        <f t="shared" si="131"/>
        <v>0</v>
      </c>
      <c r="W477" s="354">
        <f t="shared" si="131"/>
        <v>0</v>
      </c>
      <c r="X477" s="354">
        <f t="shared" si="131"/>
        <v>0</v>
      </c>
      <c r="Y477" s="354">
        <f t="shared" si="131"/>
        <v>0</v>
      </c>
      <c r="Z477" s="354">
        <f t="shared" si="131"/>
        <v>0</v>
      </c>
      <c r="AA477" s="354">
        <f t="shared" si="131"/>
        <v>0</v>
      </c>
      <c r="AB477" s="354">
        <f t="shared" si="131"/>
        <v>0</v>
      </c>
      <c r="AC477" s="354">
        <f t="shared" si="131"/>
        <v>0</v>
      </c>
      <c r="AD477" s="354">
        <f t="shared" si="131"/>
        <v>0</v>
      </c>
      <c r="AE477" s="354">
        <f t="shared" si="131"/>
        <v>0</v>
      </c>
      <c r="AP477" s="666"/>
    </row>
    <row r="478" spans="2:42" ht="30">
      <c r="B478" s="355"/>
      <c r="C478" s="64"/>
      <c r="D478" s="356"/>
      <c r="E478"/>
      <c r="F478" s="386"/>
      <c r="G478" s="760"/>
      <c r="H478" s="357"/>
      <c r="I478" s="386"/>
      <c r="J478" s="386"/>
      <c r="K478" s="386"/>
      <c r="L478" s="386"/>
      <c r="M478" s="386"/>
      <c r="N478"/>
      <c r="O478"/>
      <c r="P478"/>
      <c r="AP478" s="666"/>
    </row>
    <row r="479" spans="2:42" ht="30">
      <c r="B479" s="355"/>
      <c r="C479" s="64"/>
      <c r="D479" s="358" t="s">
        <v>818</v>
      </c>
      <c r="E479"/>
      <c r="F479" s="386"/>
      <c r="G479" s="760"/>
      <c r="H479" s="359">
        <f>H374+H464+H473</f>
        <v>46125913.13000001</v>
      </c>
      <c r="I479" s="386"/>
      <c r="J479" s="386"/>
      <c r="K479" s="386"/>
      <c r="L479" s="386"/>
      <c r="M479" s="386"/>
      <c r="N479"/>
      <c r="O479"/>
      <c r="P479"/>
      <c r="AP479" s="666"/>
    </row>
    <row r="480" spans="2:42" ht="30">
      <c r="B480" s="355"/>
      <c r="C480" s="64"/>
      <c r="D480" s="358"/>
      <c r="E480"/>
      <c r="F480" s="386"/>
      <c r="G480" s="760"/>
      <c r="H480" s="359"/>
      <c r="I480" s="386"/>
      <c r="J480" s="386"/>
      <c r="K480" s="386"/>
      <c r="L480" s="386"/>
      <c r="M480" s="386"/>
      <c r="N480"/>
      <c r="O480"/>
      <c r="P480"/>
      <c r="AP480" s="666"/>
    </row>
    <row r="481" spans="1:42" ht="27">
      <c r="B481" s="1023" t="s">
        <v>270</v>
      </c>
      <c r="C481" s="1023"/>
      <c r="D481" s="1023"/>
      <c r="E481" s="694"/>
      <c r="F481" s="225"/>
      <c r="G481" s="770"/>
      <c r="H481" s="225"/>
      <c r="I481" s="225"/>
      <c r="J481" s="225"/>
      <c r="K481" s="225"/>
      <c r="L481" s="225"/>
      <c r="M481" s="225"/>
      <c r="N481" s="225"/>
      <c r="O481" s="225"/>
      <c r="P481" s="225"/>
      <c r="Q481" s="225"/>
      <c r="R481" s="225"/>
      <c r="S481" s="225"/>
      <c r="T481" s="225"/>
      <c r="U481" s="225"/>
      <c r="V481" s="225"/>
      <c r="W481" s="225"/>
      <c r="X481" s="225"/>
      <c r="Y481" s="225"/>
      <c r="Z481" s="225"/>
      <c r="AA481" s="225"/>
      <c r="AB481" s="225"/>
      <c r="AC481" s="225"/>
      <c r="AD481" s="225"/>
      <c r="AE481" s="225"/>
      <c r="AP481" s="666"/>
    </row>
    <row r="482" spans="1:42" ht="15.75">
      <c r="B482" s="214"/>
      <c r="C482" s="214"/>
      <c r="D482" s="346"/>
      <c r="E482" s="346"/>
      <c r="F482" s="570"/>
      <c r="G482" s="771"/>
      <c r="H482" s="226"/>
      <c r="I482" s="402">
        <f>SUM(I483:I548)</f>
        <v>50218486.339999989</v>
      </c>
      <c r="J482" s="226"/>
      <c r="K482" s="226"/>
      <c r="L482" s="226"/>
      <c r="M482" s="226"/>
      <c r="N482" s="226"/>
      <c r="O482" s="226"/>
      <c r="P482" s="226"/>
      <c r="Q482" s="226"/>
      <c r="R482" s="226"/>
      <c r="S482" s="226"/>
      <c r="T482" s="226"/>
      <c r="U482" s="226"/>
      <c r="V482" s="226"/>
      <c r="W482" s="226"/>
      <c r="X482" s="226"/>
      <c r="Y482" s="226"/>
      <c r="Z482" s="226"/>
      <c r="AA482" s="226"/>
      <c r="AB482" s="226"/>
      <c r="AC482" s="226"/>
      <c r="AD482" s="226"/>
      <c r="AE482" s="226"/>
      <c r="AP482" s="666"/>
    </row>
    <row r="483" spans="1:42" ht="30">
      <c r="B483" s="193">
        <v>1</v>
      </c>
      <c r="C483" s="172" t="s">
        <v>271</v>
      </c>
      <c r="D483" s="171" t="s">
        <v>272</v>
      </c>
      <c r="E483" s="666"/>
      <c r="F483" s="560"/>
      <c r="G483" s="558"/>
      <c r="H483" s="666"/>
      <c r="I483" s="155">
        <f>850000-285699.48</f>
        <v>564300.52</v>
      </c>
      <c r="J483" s="390"/>
      <c r="K483" s="390"/>
      <c r="L483" s="390"/>
      <c r="M483" s="415">
        <f>SUM(I483:L483)</f>
        <v>564300.52</v>
      </c>
      <c r="N483" s="666"/>
      <c r="O483" s="170">
        <v>548151.09</v>
      </c>
      <c r="P483" s="666"/>
      <c r="Q483" s="666"/>
      <c r="R483" s="666"/>
      <c r="S483" s="152">
        <f>SUM(N483:R483)</f>
        <v>548151.09</v>
      </c>
      <c r="T483" s="666"/>
      <c r="U483" s="170">
        <f t="shared" ref="U483:U532" si="132">+I483-O483</f>
        <v>16149.430000000051</v>
      </c>
      <c r="V483" s="666"/>
      <c r="W483" s="666"/>
      <c r="X483" s="666"/>
      <c r="Y483" s="152">
        <f>SUM(T483:X483)</f>
        <v>16149.430000000051</v>
      </c>
      <c r="Z483" s="666"/>
      <c r="AA483" s="666"/>
      <c r="AB483" s="666"/>
      <c r="AC483" s="666"/>
      <c r="AD483" s="666"/>
      <c r="AE483" s="666"/>
      <c r="AP483" s="666"/>
    </row>
    <row r="484" spans="1:42" ht="45">
      <c r="B484" s="193">
        <v>2</v>
      </c>
      <c r="C484" s="172" t="s">
        <v>273</v>
      </c>
      <c r="D484" s="171" t="s">
        <v>274</v>
      </c>
      <c r="E484" s="666"/>
      <c r="F484" s="423" t="s">
        <v>848</v>
      </c>
      <c r="G484" s="762"/>
      <c r="H484" s="666"/>
      <c r="I484" s="155">
        <f>305606.18+38708.2-15968.22</f>
        <v>328346.16000000003</v>
      </c>
      <c r="J484" s="390"/>
      <c r="K484" s="390"/>
      <c r="L484" s="390"/>
      <c r="M484" s="415">
        <f t="shared" ref="M484:M532" si="133">SUM(I484:L484)</f>
        <v>328346.16000000003</v>
      </c>
      <c r="N484" s="666"/>
      <c r="O484" s="170">
        <f>117485.61+103693.15+107167.4</f>
        <v>328346.16000000003</v>
      </c>
      <c r="P484" s="666"/>
      <c r="Q484" s="666"/>
      <c r="R484" s="666"/>
      <c r="S484" s="152">
        <f t="shared" ref="S484:S545" si="134">SUM(N484:R484)</f>
        <v>328346.16000000003</v>
      </c>
      <c r="T484" s="666"/>
      <c r="U484" s="381">
        <f t="shared" si="132"/>
        <v>0</v>
      </c>
      <c r="V484" s="666"/>
      <c r="W484" s="666"/>
      <c r="X484" s="666"/>
      <c r="Y484" s="152">
        <f t="shared" ref="Y484:Y527" si="135">SUM(T484:X484)</f>
        <v>0</v>
      </c>
      <c r="Z484" s="170">
        <v>0</v>
      </c>
      <c r="AA484" s="170">
        <f>684031.78+38708.2</f>
        <v>722739.98</v>
      </c>
      <c r="AB484" s="170">
        <v>0</v>
      </c>
      <c r="AC484" s="170">
        <v>0</v>
      </c>
      <c r="AD484" s="170">
        <v>0</v>
      </c>
      <c r="AE484" s="170">
        <f>SUM(Z484:AD484)</f>
        <v>722739.98</v>
      </c>
      <c r="AF484" s="585"/>
      <c r="AP484" s="666"/>
    </row>
    <row r="485" spans="1:42" ht="45">
      <c r="B485" s="492">
        <v>3</v>
      </c>
      <c r="C485" s="172" t="s">
        <v>275</v>
      </c>
      <c r="D485" s="171" t="s">
        <v>276</v>
      </c>
      <c r="E485" s="666"/>
      <c r="F485" s="560"/>
      <c r="G485" s="558"/>
      <c r="H485" s="666"/>
      <c r="I485" s="155">
        <f>1300000-143601.6-35000-106867.43-76789.3-112082.65-188362.23-49595.63</f>
        <v>587701.15999999992</v>
      </c>
      <c r="J485" s="390"/>
      <c r="K485" s="390"/>
      <c r="L485" s="390"/>
      <c r="M485" s="415">
        <f t="shared" si="133"/>
        <v>587701.15999999992</v>
      </c>
      <c r="N485" s="666"/>
      <c r="O485" s="155">
        <f>0+50055.02+124663.83+195468.47+21280.9+150261.08</f>
        <v>541729.30000000005</v>
      </c>
      <c r="P485" s="666"/>
      <c r="Q485" s="666"/>
      <c r="R485" s="666"/>
      <c r="S485" s="152">
        <f t="shared" si="134"/>
        <v>541729.30000000005</v>
      </c>
      <c r="T485" s="666"/>
      <c r="U485" s="381">
        <f t="shared" si="132"/>
        <v>45971.85999999987</v>
      </c>
      <c r="V485" s="666"/>
      <c r="W485" s="666"/>
      <c r="X485" s="666"/>
      <c r="Y485" s="152">
        <f t="shared" si="135"/>
        <v>45971.85999999987</v>
      </c>
      <c r="Z485" s="170">
        <v>0</v>
      </c>
      <c r="AA485" s="170">
        <v>587701.16</v>
      </c>
      <c r="AB485" s="170">
        <v>0</v>
      </c>
      <c r="AC485" s="170">
        <v>0</v>
      </c>
      <c r="AD485" s="170">
        <v>0</v>
      </c>
      <c r="AE485" s="170">
        <f>AA485</f>
        <v>587701.16</v>
      </c>
      <c r="AF485" s="804">
        <v>45971.85999999987</v>
      </c>
      <c r="AP485" s="666"/>
    </row>
    <row r="486" spans="1:42" ht="45">
      <c r="B486" s="193">
        <v>4</v>
      </c>
      <c r="C486" s="172" t="s">
        <v>277</v>
      </c>
      <c r="D486" s="171" t="s">
        <v>819</v>
      </c>
      <c r="E486" s="666"/>
      <c r="F486" s="571" t="s">
        <v>1049</v>
      </c>
      <c r="G486" s="772"/>
      <c r="H486" s="666"/>
      <c r="I486" s="155">
        <v>6500000</v>
      </c>
      <c r="J486" s="390"/>
      <c r="K486" s="390"/>
      <c r="L486" s="390"/>
      <c r="M486" s="415">
        <f t="shared" si="133"/>
        <v>6500000</v>
      </c>
      <c r="N486" s="666"/>
      <c r="O486" s="170">
        <f>83384.02+81802.92+756522.78+493355.89+308319.71+1292818.56+794279.56+1560689.4+364618.82+661435.12</f>
        <v>6397226.7800000003</v>
      </c>
      <c r="P486" s="666"/>
      <c r="Q486" s="666"/>
      <c r="R486" s="666"/>
      <c r="S486" s="152">
        <f t="shared" si="134"/>
        <v>6397226.7800000003</v>
      </c>
      <c r="T486" s="666"/>
      <c r="U486" s="381">
        <f t="shared" si="132"/>
        <v>102773.21999999974</v>
      </c>
      <c r="V486" s="666"/>
      <c r="W486" s="666"/>
      <c r="X486" s="666"/>
      <c r="Y486" s="152">
        <f t="shared" si="135"/>
        <v>102773.21999999974</v>
      </c>
      <c r="Z486" s="420">
        <v>0</v>
      </c>
      <c r="AA486" s="420">
        <f>5371172.85+1128827.15</f>
        <v>6500000</v>
      </c>
      <c r="AB486" s="420">
        <v>0</v>
      </c>
      <c r="AC486" s="420">
        <v>0</v>
      </c>
      <c r="AD486" s="420">
        <v>0</v>
      </c>
      <c r="AE486" s="420">
        <f>SUM(Z486:AD486)</f>
        <v>6500000</v>
      </c>
      <c r="AF486" s="804">
        <v>102773.21999999974</v>
      </c>
      <c r="AP486" s="666"/>
    </row>
    <row r="487" spans="1:42" ht="30">
      <c r="B487" s="193">
        <v>5</v>
      </c>
      <c r="C487" s="172" t="s">
        <v>278</v>
      </c>
      <c r="D487" s="171" t="s">
        <v>279</v>
      </c>
      <c r="E487" s="666"/>
      <c r="F487" s="560"/>
      <c r="G487" s="558"/>
      <c r="H487" s="666"/>
      <c r="I487" s="155">
        <f>6810396.84-318124</f>
        <v>6492272.8399999999</v>
      </c>
      <c r="J487" s="390"/>
      <c r="K487" s="390"/>
      <c r="L487" s="390"/>
      <c r="M487" s="415">
        <f t="shared" si="133"/>
        <v>6492272.8399999999</v>
      </c>
      <c r="N487" s="666"/>
      <c r="O487" s="170">
        <f>1015236.23+849275.28+528577.4+1690201.23+594909.71+522037.54+190614.6+608657.42</f>
        <v>5999509.4099999992</v>
      </c>
      <c r="P487" s="666"/>
      <c r="Q487" s="666"/>
      <c r="R487" s="666"/>
      <c r="S487" s="152">
        <f t="shared" si="134"/>
        <v>5999509.4099999992</v>
      </c>
      <c r="T487" s="666"/>
      <c r="U487" s="381">
        <f t="shared" si="132"/>
        <v>492763.43000000063</v>
      </c>
      <c r="V487" s="666"/>
      <c r="W487" s="666"/>
      <c r="X487" s="666"/>
      <c r="Y487" s="152">
        <f t="shared" si="135"/>
        <v>492763.43000000063</v>
      </c>
      <c r="Z487" s="666"/>
      <c r="AA487" s="666"/>
      <c r="AB487" s="666"/>
      <c r="AC487" s="666"/>
      <c r="AD487" s="666"/>
      <c r="AE487" s="666"/>
      <c r="AF487" s="804">
        <v>492763.43000000063</v>
      </c>
      <c r="AP487" s="666"/>
    </row>
    <row r="488" spans="1:42" ht="30">
      <c r="B488" s="193">
        <v>6</v>
      </c>
      <c r="C488" s="172" t="s">
        <v>280</v>
      </c>
      <c r="D488" s="171" t="s">
        <v>281</v>
      </c>
      <c r="E488" s="666"/>
      <c r="F488" s="571"/>
      <c r="G488" s="772"/>
      <c r="H488" s="666"/>
      <c r="I488" s="155">
        <f>221594.97-8131.24</f>
        <v>213463.73</v>
      </c>
      <c r="J488" s="390"/>
      <c r="K488" s="390"/>
      <c r="L488" s="390"/>
      <c r="M488" s="415">
        <f t="shared" si="133"/>
        <v>213463.73</v>
      </c>
      <c r="N488" s="666"/>
      <c r="O488" s="170">
        <v>213463.73</v>
      </c>
      <c r="P488" s="666"/>
      <c r="Q488" s="666"/>
      <c r="R488" s="666"/>
      <c r="S488" s="152">
        <f t="shared" si="134"/>
        <v>213463.73</v>
      </c>
      <c r="T488" s="666"/>
      <c r="U488" s="381">
        <f t="shared" si="132"/>
        <v>0</v>
      </c>
      <c r="V488" s="666"/>
      <c r="W488" s="666"/>
      <c r="X488" s="666"/>
      <c r="Y488" s="205">
        <f t="shared" si="135"/>
        <v>0</v>
      </c>
      <c r="Z488" s="666"/>
      <c r="AA488" s="666"/>
      <c r="AB488" s="666"/>
      <c r="AC488" s="666"/>
      <c r="AD488" s="666"/>
      <c r="AE488" s="666"/>
      <c r="AF488" s="804"/>
      <c r="AP488" s="666"/>
    </row>
    <row r="489" spans="1:42" ht="60">
      <c r="A489" t="s">
        <v>845</v>
      </c>
      <c r="B489" s="193">
        <v>7</v>
      </c>
      <c r="C489" s="439" t="s">
        <v>893</v>
      </c>
      <c r="D489" s="171" t="s">
        <v>891</v>
      </c>
      <c r="E489" s="666"/>
      <c r="F489" s="560"/>
      <c r="G489" s="558"/>
      <c r="H489" s="666"/>
      <c r="I489" s="155">
        <f>500000+69895</f>
        <v>569895</v>
      </c>
      <c r="J489" s="390"/>
      <c r="K489" s="390"/>
      <c r="L489" s="390"/>
      <c r="M489" s="415">
        <f t="shared" si="133"/>
        <v>569895</v>
      </c>
      <c r="N489" s="666"/>
      <c r="O489" s="170">
        <f>81408.54+236402.55+182188.91</f>
        <v>500000</v>
      </c>
      <c r="P489" s="666"/>
      <c r="Q489" s="666"/>
      <c r="R489" s="666"/>
      <c r="S489" s="152">
        <f t="shared" si="134"/>
        <v>500000</v>
      </c>
      <c r="T489" s="666"/>
      <c r="U489" s="381">
        <f t="shared" si="132"/>
        <v>69895</v>
      </c>
      <c r="V489" s="666"/>
      <c r="W489" s="666"/>
      <c r="X489" s="666"/>
      <c r="Y489" s="170">
        <f t="shared" si="135"/>
        <v>69895</v>
      </c>
      <c r="Z489" s="420">
        <v>0</v>
      </c>
      <c r="AA489" s="420">
        <v>500000</v>
      </c>
      <c r="AB489" s="420">
        <v>0</v>
      </c>
      <c r="AC489" s="420">
        <v>0</v>
      </c>
      <c r="AD489" s="420">
        <v>0</v>
      </c>
      <c r="AE489" s="420">
        <f>SUM(Z489:AD489)</f>
        <v>500000</v>
      </c>
      <c r="AF489" s="804">
        <v>69895</v>
      </c>
      <c r="AP489" s="666"/>
    </row>
    <row r="490" spans="1:42" ht="45">
      <c r="B490" s="193">
        <v>8</v>
      </c>
      <c r="C490" s="172" t="s">
        <v>282</v>
      </c>
      <c r="D490" s="171" t="s">
        <v>283</v>
      </c>
      <c r="E490" s="666"/>
      <c r="F490" s="560"/>
      <c r="G490" s="558"/>
      <c r="H490" s="666"/>
      <c r="I490" s="155">
        <v>155892.88000000006</v>
      </c>
      <c r="J490" s="390"/>
      <c r="K490" s="390"/>
      <c r="L490" s="390"/>
      <c r="M490" s="415">
        <f t="shared" si="133"/>
        <v>155892.88000000006</v>
      </c>
      <c r="N490" s="666"/>
      <c r="O490" s="170">
        <f>92553.44+63339.43</f>
        <v>155892.87</v>
      </c>
      <c r="P490" s="666"/>
      <c r="Q490" s="666"/>
      <c r="R490" s="666"/>
      <c r="S490" s="152">
        <f t="shared" si="134"/>
        <v>155892.87</v>
      </c>
      <c r="T490" s="666"/>
      <c r="U490" s="381">
        <f t="shared" si="132"/>
        <v>1.0000000067520887E-2</v>
      </c>
      <c r="V490" s="666"/>
      <c r="W490" s="666"/>
      <c r="X490" s="666"/>
      <c r="Y490" s="205">
        <f t="shared" si="135"/>
        <v>1.0000000067520887E-2</v>
      </c>
      <c r="Z490" s="666"/>
      <c r="AA490" s="666"/>
      <c r="AB490" s="666"/>
      <c r="AC490" s="666"/>
      <c r="AD490" s="666"/>
      <c r="AE490" s="666"/>
      <c r="AF490" s="585"/>
      <c r="AP490" s="666"/>
    </row>
    <row r="491" spans="1:42" ht="30">
      <c r="B491" s="193">
        <v>9</v>
      </c>
      <c r="C491" s="348" t="s">
        <v>284</v>
      </c>
      <c r="D491" s="160" t="s">
        <v>285</v>
      </c>
      <c r="E491" s="666"/>
      <c r="F491" s="560"/>
      <c r="G491" s="558"/>
      <c r="H491" s="666"/>
      <c r="I491" s="155">
        <f>15000000-34459.81-44882.47-4772.02-2788545.61-9967057.75</f>
        <v>2160282.34</v>
      </c>
      <c r="J491" s="390"/>
      <c r="K491" s="390"/>
      <c r="L491" s="390"/>
      <c r="M491" s="415">
        <f t="shared" si="133"/>
        <v>2160282.34</v>
      </c>
      <c r="N491" s="666"/>
      <c r="O491" s="170">
        <f>0+0+122972.51+442097.48+355260.73+994324.04+245627.58</f>
        <v>2160282.34</v>
      </c>
      <c r="P491" s="666"/>
      <c r="Q491" s="666"/>
      <c r="R491" s="666"/>
      <c r="S491" s="152">
        <f t="shared" si="134"/>
        <v>2160282.34</v>
      </c>
      <c r="T491" s="666"/>
      <c r="U491" s="170">
        <f t="shared" si="132"/>
        <v>0</v>
      </c>
      <c r="V491" s="666"/>
      <c r="W491" s="666"/>
      <c r="X491" s="666"/>
      <c r="Y491" s="152">
        <f t="shared" si="135"/>
        <v>0</v>
      </c>
      <c r="Z491" s="420">
        <v>0</v>
      </c>
      <c r="AA491" s="420">
        <v>12127340.09</v>
      </c>
      <c r="AB491" s="420">
        <v>0</v>
      </c>
      <c r="AC491" s="420">
        <v>0</v>
      </c>
      <c r="AD491" s="420">
        <v>0</v>
      </c>
      <c r="AE491" s="420">
        <v>12127340.09</v>
      </c>
      <c r="AF491" s="585"/>
      <c r="AP491" s="666"/>
    </row>
    <row r="492" spans="1:42" ht="45">
      <c r="B492" s="193">
        <v>10</v>
      </c>
      <c r="C492" s="172" t="s">
        <v>287</v>
      </c>
      <c r="D492" s="171" t="s">
        <v>288</v>
      </c>
      <c r="E492" s="510"/>
      <c r="F492" s="571" t="s">
        <v>1121</v>
      </c>
      <c r="G492" s="772"/>
      <c r="H492" s="666"/>
      <c r="I492" s="155">
        <f>3000000-439019.61</f>
        <v>2560980.39</v>
      </c>
      <c r="J492" s="390"/>
      <c r="K492" s="390"/>
      <c r="L492" s="390"/>
      <c r="M492" s="415">
        <f t="shared" si="133"/>
        <v>2560980.39</v>
      </c>
      <c r="N492" s="666"/>
      <c r="O492" s="170">
        <f>112217.77+225008.17+306488.94+268454.66+178787.13+952509.66+517514.06</f>
        <v>2560980.39</v>
      </c>
      <c r="P492" s="666"/>
      <c r="Q492" s="152"/>
      <c r="R492" s="666"/>
      <c r="S492" s="152">
        <f t="shared" si="134"/>
        <v>2560980.39</v>
      </c>
      <c r="T492" s="666"/>
      <c r="U492" s="381">
        <f t="shared" si="132"/>
        <v>0</v>
      </c>
      <c r="V492" s="666"/>
      <c r="W492" s="666"/>
      <c r="X492" s="666"/>
      <c r="Y492" s="152">
        <f t="shared" si="135"/>
        <v>0</v>
      </c>
      <c r="Z492" s="420">
        <v>0</v>
      </c>
      <c r="AA492" s="537">
        <v>3000000</v>
      </c>
      <c r="AB492" s="420">
        <v>0</v>
      </c>
      <c r="AC492" s="420">
        <v>0</v>
      </c>
      <c r="AD492" s="420">
        <v>0</v>
      </c>
      <c r="AE492" s="537">
        <v>3000000</v>
      </c>
      <c r="AF492" s="585"/>
      <c r="AP492" s="666"/>
    </row>
    <row r="493" spans="1:42" ht="30">
      <c r="B493" s="193">
        <v>11</v>
      </c>
      <c r="C493" s="172" t="s">
        <v>289</v>
      </c>
      <c r="D493" s="171" t="s">
        <v>290</v>
      </c>
      <c r="E493" s="666"/>
      <c r="F493" s="560"/>
      <c r="G493" s="558"/>
      <c r="H493" s="666"/>
      <c r="I493" s="155">
        <f>837966.49-251265.81</f>
        <v>586700.67999999993</v>
      </c>
      <c r="J493" s="390"/>
      <c r="K493" s="390"/>
      <c r="L493" s="390"/>
      <c r="M493" s="415">
        <f t="shared" si="133"/>
        <v>586700.67999999993</v>
      </c>
      <c r="N493" s="666"/>
      <c r="O493" s="170">
        <f>1838.39+175456.89+158787.35+114765.63+82597.83+33339.98+19914.61</f>
        <v>586700.67999999993</v>
      </c>
      <c r="P493" s="666"/>
      <c r="Q493" s="666"/>
      <c r="R493" s="666"/>
      <c r="S493" s="152">
        <f t="shared" si="134"/>
        <v>586700.67999999993</v>
      </c>
      <c r="T493" s="666"/>
      <c r="U493" s="444">
        <f t="shared" si="132"/>
        <v>0</v>
      </c>
      <c r="V493" s="666"/>
      <c r="W493" s="666"/>
      <c r="X493" s="666"/>
      <c r="Y493" s="152">
        <f t="shared" si="135"/>
        <v>0</v>
      </c>
      <c r="Z493" s="666"/>
      <c r="AA493" s="666"/>
      <c r="AB493" s="666"/>
      <c r="AC493" s="666"/>
      <c r="AD493" s="666"/>
      <c r="AE493" s="666"/>
      <c r="AF493" s="585"/>
      <c r="AP493" s="666"/>
    </row>
    <row r="494" spans="1:42" ht="30">
      <c r="B494" s="193">
        <v>12</v>
      </c>
      <c r="C494" s="172" t="s">
        <v>291</v>
      </c>
      <c r="D494" s="171" t="s">
        <v>292</v>
      </c>
      <c r="E494" s="666"/>
      <c r="F494" s="560"/>
      <c r="G494" s="558"/>
      <c r="H494" s="666"/>
      <c r="I494" s="155">
        <f>1000000-61.43</f>
        <v>999938.57</v>
      </c>
      <c r="J494" s="390"/>
      <c r="K494" s="390"/>
      <c r="L494" s="390"/>
      <c r="M494" s="415">
        <f t="shared" si="133"/>
        <v>999938.57</v>
      </c>
      <c r="N494" s="666"/>
      <c r="O494" s="170">
        <f>83544.33+328852.91+330183.61+154365.4+102992.32</f>
        <v>999938.57000000007</v>
      </c>
      <c r="P494" s="666"/>
      <c r="Q494" s="666"/>
      <c r="R494" s="666"/>
      <c r="S494" s="152">
        <f t="shared" si="134"/>
        <v>999938.57000000007</v>
      </c>
      <c r="T494" s="666"/>
      <c r="U494" s="381">
        <f t="shared" si="132"/>
        <v>0</v>
      </c>
      <c r="V494" s="666"/>
      <c r="W494" s="666"/>
      <c r="X494" s="666"/>
      <c r="Y494" s="152">
        <f t="shared" si="135"/>
        <v>0</v>
      </c>
      <c r="Z494" s="666"/>
      <c r="AA494" s="666"/>
      <c r="AB494" s="666"/>
      <c r="AC494" s="666"/>
      <c r="AD494" s="666"/>
      <c r="AE494" s="666"/>
      <c r="AF494" s="585"/>
      <c r="AP494" s="666"/>
    </row>
    <row r="495" spans="1:42" ht="30">
      <c r="B495" s="193">
        <v>13</v>
      </c>
      <c r="C495" s="172" t="s">
        <v>293</v>
      </c>
      <c r="D495" s="171" t="s">
        <v>294</v>
      </c>
      <c r="E495" s="666"/>
      <c r="F495" s="560"/>
      <c r="G495" s="558"/>
      <c r="H495" s="666"/>
      <c r="I495" s="155">
        <v>413737.03</v>
      </c>
      <c r="J495" s="390"/>
      <c r="K495" s="390"/>
      <c r="L495" s="390"/>
      <c r="M495" s="415">
        <f t="shared" si="133"/>
        <v>413737.03</v>
      </c>
      <c r="N495" s="666"/>
      <c r="O495" s="170">
        <f>91997.28+177232.47+14861.97+76748.12+52897.18</f>
        <v>413737.01999999996</v>
      </c>
      <c r="P495" s="666"/>
      <c r="Q495" s="666"/>
      <c r="R495" s="666"/>
      <c r="S495" s="152">
        <f t="shared" si="134"/>
        <v>413737.01999999996</v>
      </c>
      <c r="T495" s="666"/>
      <c r="U495" s="381">
        <f t="shared" si="132"/>
        <v>1.0000000067520887E-2</v>
      </c>
      <c r="V495" s="666"/>
      <c r="W495" s="666"/>
      <c r="X495" s="666"/>
      <c r="Y495" s="152">
        <f t="shared" si="135"/>
        <v>1.0000000067520887E-2</v>
      </c>
      <c r="Z495" s="666"/>
      <c r="AA495" s="666"/>
      <c r="AB495" s="666"/>
      <c r="AC495" s="666"/>
      <c r="AD495" s="666"/>
      <c r="AE495" s="666"/>
      <c r="AF495" s="585"/>
      <c r="AP495" s="666"/>
    </row>
    <row r="496" spans="1:42" ht="30">
      <c r="B496" s="193">
        <v>14</v>
      </c>
      <c r="C496" s="172" t="s">
        <v>295</v>
      </c>
      <c r="D496" s="171" t="s">
        <v>296</v>
      </c>
      <c r="E496" s="666"/>
      <c r="F496" s="560"/>
      <c r="G496" s="558"/>
      <c r="H496" s="666"/>
      <c r="I496" s="155">
        <f>337063.07-5316.48</f>
        <v>331746.59000000003</v>
      </c>
      <c r="J496" s="390"/>
      <c r="K496" s="390"/>
      <c r="L496" s="390"/>
      <c r="M496" s="415">
        <f t="shared" si="133"/>
        <v>331746.59000000003</v>
      </c>
      <c r="N496" s="666"/>
      <c r="O496" s="170">
        <f>21902.66+31336.16+241761.64+36746.13</f>
        <v>331746.59000000003</v>
      </c>
      <c r="P496" s="666"/>
      <c r="Q496" s="666"/>
      <c r="R496" s="666"/>
      <c r="S496" s="152">
        <f t="shared" si="134"/>
        <v>331746.59000000003</v>
      </c>
      <c r="T496" s="666"/>
      <c r="U496" s="381">
        <f t="shared" si="132"/>
        <v>0</v>
      </c>
      <c r="V496" s="666"/>
      <c r="W496" s="666"/>
      <c r="X496" s="666"/>
      <c r="Y496" s="205">
        <f t="shared" si="135"/>
        <v>0</v>
      </c>
      <c r="Z496" s="666"/>
      <c r="AA496" s="666"/>
      <c r="AB496" s="666"/>
      <c r="AC496" s="666"/>
      <c r="AD496" s="666"/>
      <c r="AE496" s="666"/>
      <c r="AF496" s="585"/>
      <c r="AP496" s="666"/>
    </row>
    <row r="497" spans="2:42" ht="30">
      <c r="B497" s="193">
        <v>15</v>
      </c>
      <c r="C497" s="172" t="s">
        <v>297</v>
      </c>
      <c r="D497" s="171" t="s">
        <v>298</v>
      </c>
      <c r="E497" s="666"/>
      <c r="F497" s="560"/>
      <c r="G497" s="558"/>
      <c r="H497" s="666"/>
      <c r="I497" s="155">
        <f>241778.96-199799.65</f>
        <v>41979.31</v>
      </c>
      <c r="J497" s="390"/>
      <c r="K497" s="390"/>
      <c r="L497" s="390"/>
      <c r="M497" s="415">
        <f t="shared" si="133"/>
        <v>41979.31</v>
      </c>
      <c r="N497" s="666"/>
      <c r="O497" s="170">
        <f>29312.27+12667.04</f>
        <v>41979.31</v>
      </c>
      <c r="P497" s="666"/>
      <c r="Q497" s="666"/>
      <c r="R497" s="666"/>
      <c r="S497" s="152">
        <f t="shared" si="134"/>
        <v>41979.31</v>
      </c>
      <c r="T497" s="666"/>
      <c r="U497" s="381">
        <f t="shared" si="132"/>
        <v>0</v>
      </c>
      <c r="V497" s="666"/>
      <c r="W497" s="666"/>
      <c r="X497" s="666"/>
      <c r="Y497" s="152">
        <f t="shared" si="135"/>
        <v>0</v>
      </c>
      <c r="Z497" s="666"/>
      <c r="AA497" s="666"/>
      <c r="AB497" s="666"/>
      <c r="AC497" s="666"/>
      <c r="AD497" s="666"/>
      <c r="AE497" s="666"/>
      <c r="AF497" s="585"/>
      <c r="AP497" s="666"/>
    </row>
    <row r="498" spans="2:42" ht="60">
      <c r="B498" s="348">
        <v>16</v>
      </c>
      <c r="C498" s="172" t="s">
        <v>299</v>
      </c>
      <c r="D498" s="171" t="s">
        <v>300</v>
      </c>
      <c r="E498" s="666"/>
      <c r="F498" s="560"/>
      <c r="G498" s="558"/>
      <c r="H498" s="666"/>
      <c r="I498" s="155">
        <v>126145.95999999996</v>
      </c>
      <c r="J498" s="390"/>
      <c r="K498" s="390"/>
      <c r="L498" s="390"/>
      <c r="M498" s="415">
        <f t="shared" si="133"/>
        <v>126145.95999999996</v>
      </c>
      <c r="N498" s="666"/>
      <c r="O498" s="170">
        <v>126145.96</v>
      </c>
      <c r="P498" s="666"/>
      <c r="Q498" s="666"/>
      <c r="R498" s="666"/>
      <c r="S498" s="152">
        <f t="shared" si="134"/>
        <v>126145.96</v>
      </c>
      <c r="T498" s="666"/>
      <c r="U498" s="170">
        <f t="shared" si="132"/>
        <v>0</v>
      </c>
      <c r="V498" s="666"/>
      <c r="W498" s="666"/>
      <c r="X498" s="666"/>
      <c r="Y498" s="152">
        <f t="shared" si="135"/>
        <v>0</v>
      </c>
      <c r="Z498" s="666"/>
      <c r="AA498" s="666"/>
      <c r="AB498" s="666"/>
      <c r="AC498" s="666"/>
      <c r="AD498" s="666"/>
      <c r="AE498" s="666"/>
      <c r="AF498" s="585"/>
      <c r="AP498" s="666"/>
    </row>
    <row r="499" spans="2:42" ht="45">
      <c r="B499" s="193">
        <v>17</v>
      </c>
      <c r="C499" s="172" t="s">
        <v>301</v>
      </c>
      <c r="D499" s="171" t="s">
        <v>302</v>
      </c>
      <c r="E499" s="666"/>
      <c r="F499" s="560"/>
      <c r="G499" s="558"/>
      <c r="H499" s="666"/>
      <c r="I499" s="155">
        <f>146651.79-6123.06</f>
        <v>140528.73000000001</v>
      </c>
      <c r="J499" s="390"/>
      <c r="K499" s="390"/>
      <c r="L499" s="390"/>
      <c r="M499" s="415">
        <f t="shared" si="133"/>
        <v>140528.73000000001</v>
      </c>
      <c r="N499" s="666"/>
      <c r="O499" s="170">
        <v>140528.73000000001</v>
      </c>
      <c r="P499" s="666"/>
      <c r="Q499" s="666"/>
      <c r="R499" s="666"/>
      <c r="S499" s="152">
        <f t="shared" si="134"/>
        <v>140528.73000000001</v>
      </c>
      <c r="T499" s="666"/>
      <c r="U499" s="381">
        <f t="shared" si="132"/>
        <v>0</v>
      </c>
      <c r="V499" s="666"/>
      <c r="W499" s="666"/>
      <c r="X499" s="666"/>
      <c r="Y499" s="205">
        <f t="shared" si="135"/>
        <v>0</v>
      </c>
      <c r="Z499" s="666"/>
      <c r="AA499" s="666"/>
      <c r="AB499" s="666"/>
      <c r="AC499" s="666"/>
      <c r="AD499" s="666"/>
      <c r="AE499" s="666"/>
      <c r="AF499" s="585"/>
      <c r="AP499" s="666"/>
    </row>
    <row r="500" spans="2:42" ht="60">
      <c r="B500" s="193">
        <v>18</v>
      </c>
      <c r="C500" s="172" t="s">
        <v>303</v>
      </c>
      <c r="D500" s="171" t="s">
        <v>304</v>
      </c>
      <c r="E500" s="666"/>
      <c r="F500" s="560"/>
      <c r="G500" s="558"/>
      <c r="H500" s="666"/>
      <c r="I500" s="155">
        <v>1438089.7</v>
      </c>
      <c r="J500" s="390"/>
      <c r="K500" s="390"/>
      <c r="L500" s="390"/>
      <c r="M500" s="415">
        <f t="shared" si="133"/>
        <v>1438089.7</v>
      </c>
      <c r="N500" s="666"/>
      <c r="O500" s="170">
        <f>701175.61+222712.34+225573.6+146405.73</f>
        <v>1295867.28</v>
      </c>
      <c r="P500" s="666"/>
      <c r="Q500" s="666"/>
      <c r="R500" s="666"/>
      <c r="S500" s="152">
        <f t="shared" si="134"/>
        <v>1295867.28</v>
      </c>
      <c r="T500" s="666"/>
      <c r="U500" s="381">
        <f t="shared" si="132"/>
        <v>142222.41999999993</v>
      </c>
      <c r="V500" s="666"/>
      <c r="W500" s="666"/>
      <c r="X500" s="666"/>
      <c r="Y500" s="152">
        <f t="shared" si="135"/>
        <v>142222.41999999993</v>
      </c>
      <c r="Z500" s="666"/>
      <c r="AA500" s="666"/>
      <c r="AB500" s="666"/>
      <c r="AC500" s="666"/>
      <c r="AD500" s="666"/>
      <c r="AE500" s="666"/>
      <c r="AF500" s="804">
        <v>142222.41999999993</v>
      </c>
      <c r="AP500" s="666"/>
    </row>
    <row r="501" spans="2:42" ht="60">
      <c r="B501" s="193">
        <v>19</v>
      </c>
      <c r="C501" s="172" t="s">
        <v>305</v>
      </c>
      <c r="D501" s="171" t="s">
        <v>306</v>
      </c>
      <c r="E501" s="666"/>
      <c r="F501" s="560"/>
      <c r="G501" s="558"/>
      <c r="H501" s="666"/>
      <c r="I501" s="155">
        <v>532710.6399999999</v>
      </c>
      <c r="J501" s="390"/>
      <c r="K501" s="390"/>
      <c r="L501" s="390"/>
      <c r="M501" s="415">
        <f t="shared" si="133"/>
        <v>532710.6399999999</v>
      </c>
      <c r="N501" s="666"/>
      <c r="O501" s="170">
        <f>384817.52+147893.12</f>
        <v>532710.64</v>
      </c>
      <c r="P501" s="666"/>
      <c r="Q501" s="666"/>
      <c r="R501" s="666"/>
      <c r="S501" s="152">
        <f t="shared" si="134"/>
        <v>532710.64</v>
      </c>
      <c r="T501" s="666"/>
      <c r="U501" s="381">
        <f t="shared" si="132"/>
        <v>0</v>
      </c>
      <c r="V501" s="666"/>
      <c r="W501" s="666"/>
      <c r="X501" s="666"/>
      <c r="Y501" s="205">
        <f t="shared" si="135"/>
        <v>0</v>
      </c>
      <c r="Z501" s="666"/>
      <c r="AA501" s="666"/>
      <c r="AB501" s="666"/>
      <c r="AC501" s="666"/>
      <c r="AD501" s="666"/>
      <c r="AE501" s="666"/>
      <c r="AF501" s="585"/>
      <c r="AP501" s="666"/>
    </row>
    <row r="502" spans="2:42" ht="60">
      <c r="B502" s="193">
        <v>20</v>
      </c>
      <c r="C502" s="172" t="s">
        <v>307</v>
      </c>
      <c r="D502" s="171" t="s">
        <v>308</v>
      </c>
      <c r="E502" s="666"/>
      <c r="F502" s="560"/>
      <c r="G502" s="558"/>
      <c r="H502" s="666"/>
      <c r="I502" s="155">
        <f>1473566.71-46518.83</f>
        <v>1427047.88</v>
      </c>
      <c r="J502" s="390"/>
      <c r="K502" s="390"/>
      <c r="L502" s="390"/>
      <c r="M502" s="415">
        <f t="shared" si="133"/>
        <v>1427047.88</v>
      </c>
      <c r="N502" s="666"/>
      <c r="O502" s="170">
        <f>415524.93+782134.4+229388.55</f>
        <v>1427047.8800000001</v>
      </c>
      <c r="P502" s="666"/>
      <c r="Q502" s="666"/>
      <c r="R502" s="666"/>
      <c r="S502" s="152">
        <f t="shared" si="134"/>
        <v>1427047.8800000001</v>
      </c>
      <c r="T502" s="666"/>
      <c r="U502" s="437">
        <f t="shared" si="132"/>
        <v>0</v>
      </c>
      <c r="V502" s="666"/>
      <c r="W502" s="666"/>
      <c r="X502" s="666"/>
      <c r="Y502" s="205">
        <f t="shared" si="135"/>
        <v>0</v>
      </c>
      <c r="Z502" s="666"/>
      <c r="AA502" s="666"/>
      <c r="AB502" s="666"/>
      <c r="AC502" s="666"/>
      <c r="AD502" s="666"/>
      <c r="AE502" s="666"/>
      <c r="AF502" s="585"/>
      <c r="AP502" s="666"/>
    </row>
    <row r="503" spans="2:42" ht="60">
      <c r="B503" s="193">
        <v>21</v>
      </c>
      <c r="C503" s="172" t="s">
        <v>309</v>
      </c>
      <c r="D503" s="171" t="s">
        <v>310</v>
      </c>
      <c r="E503" s="666"/>
      <c r="F503" s="560"/>
      <c r="G503" s="558"/>
      <c r="H503" s="666"/>
      <c r="I503" s="155">
        <v>22766.11</v>
      </c>
      <c r="J503" s="390"/>
      <c r="K503" s="390"/>
      <c r="L503" s="390"/>
      <c r="M503" s="415">
        <f t="shared" si="133"/>
        <v>22766.11</v>
      </c>
      <c r="N503" s="666"/>
      <c r="O503" s="170">
        <v>22766.11</v>
      </c>
      <c r="P503" s="666"/>
      <c r="Q503" s="666"/>
      <c r="R503" s="666"/>
      <c r="S503" s="152">
        <f t="shared" si="134"/>
        <v>22766.11</v>
      </c>
      <c r="T503" s="666"/>
      <c r="U503" s="381">
        <f t="shared" si="132"/>
        <v>0</v>
      </c>
      <c r="V503" s="666"/>
      <c r="W503" s="666"/>
      <c r="X503" s="666"/>
      <c r="Y503" s="205">
        <f t="shared" si="135"/>
        <v>0</v>
      </c>
      <c r="Z503" s="666"/>
      <c r="AA503" s="666"/>
      <c r="AB503" s="666"/>
      <c r="AC503" s="666"/>
      <c r="AD503" s="666"/>
      <c r="AE503" s="666"/>
      <c r="AF503" s="585"/>
      <c r="AP503" s="666"/>
    </row>
    <row r="504" spans="2:42" ht="60">
      <c r="B504" s="193">
        <v>22</v>
      </c>
      <c r="C504" s="172" t="s">
        <v>311</v>
      </c>
      <c r="D504" s="171" t="s">
        <v>312</v>
      </c>
      <c r="E504" s="666"/>
      <c r="F504" s="560"/>
      <c r="G504" s="558"/>
      <c r="H504" s="666"/>
      <c r="I504" s="155">
        <v>29020.610000000015</v>
      </c>
      <c r="J504" s="390"/>
      <c r="K504" s="390"/>
      <c r="L504" s="390"/>
      <c r="M504" s="415">
        <f t="shared" si="133"/>
        <v>29020.610000000015</v>
      </c>
      <c r="N504" s="666"/>
      <c r="O504" s="170">
        <v>29020.61</v>
      </c>
      <c r="P504" s="666"/>
      <c r="Q504" s="666"/>
      <c r="R504" s="666"/>
      <c r="S504" s="152">
        <f t="shared" si="134"/>
        <v>29020.61</v>
      </c>
      <c r="T504" s="666"/>
      <c r="U504" s="381">
        <f t="shared" si="132"/>
        <v>0</v>
      </c>
      <c r="V504" s="666"/>
      <c r="W504" s="666"/>
      <c r="X504" s="666"/>
      <c r="Y504" s="205">
        <f t="shared" si="135"/>
        <v>0</v>
      </c>
      <c r="Z504" s="666"/>
      <c r="AA504" s="666"/>
      <c r="AB504" s="666"/>
      <c r="AC504" s="666"/>
      <c r="AD504" s="666"/>
      <c r="AE504" s="666"/>
      <c r="AF504" s="585"/>
      <c r="AP504" s="666"/>
    </row>
    <row r="505" spans="2:42" ht="45">
      <c r="B505" s="193">
        <v>23</v>
      </c>
      <c r="C505" s="172" t="s">
        <v>313</v>
      </c>
      <c r="D505" s="171" t="s">
        <v>314</v>
      </c>
      <c r="E505" s="666"/>
      <c r="F505" s="560"/>
      <c r="G505" s="558"/>
      <c r="H505" s="666"/>
      <c r="I505" s="170">
        <v>65061.460000000006</v>
      </c>
      <c r="J505" s="390"/>
      <c r="K505" s="390"/>
      <c r="L505" s="390"/>
      <c r="M505" s="415">
        <f t="shared" si="133"/>
        <v>65061.460000000006</v>
      </c>
      <c r="N505" s="666"/>
      <c r="O505" s="170">
        <f>27629.68+22115.99+15315.79</f>
        <v>65061.46</v>
      </c>
      <c r="P505" s="666"/>
      <c r="Q505" s="666"/>
      <c r="R505" s="666"/>
      <c r="S505" s="152">
        <f t="shared" si="134"/>
        <v>65061.46</v>
      </c>
      <c r="T505" s="666"/>
      <c r="U505" s="381">
        <f t="shared" si="132"/>
        <v>0</v>
      </c>
      <c r="V505" s="666"/>
      <c r="W505" s="666"/>
      <c r="X505" s="666"/>
      <c r="Y505" s="205">
        <f t="shared" si="135"/>
        <v>0</v>
      </c>
      <c r="Z505" s="666"/>
      <c r="AA505" s="666"/>
      <c r="AB505" s="666"/>
      <c r="AC505" s="666"/>
      <c r="AD505" s="666"/>
      <c r="AE505" s="666"/>
      <c r="AF505" s="585"/>
      <c r="AP505" s="666"/>
    </row>
    <row r="506" spans="2:42" ht="60">
      <c r="B506" s="193">
        <v>24</v>
      </c>
      <c r="C506" s="172" t="s">
        <v>315</v>
      </c>
      <c r="D506" s="171" t="s">
        <v>316</v>
      </c>
      <c r="E506" s="666"/>
      <c r="F506" s="560"/>
      <c r="G506" s="558"/>
      <c r="H506" s="666"/>
      <c r="I506" s="155">
        <v>452400</v>
      </c>
      <c r="J506" s="390"/>
      <c r="K506" s="390"/>
      <c r="L506" s="390"/>
      <c r="M506" s="415">
        <f t="shared" si="133"/>
        <v>452400</v>
      </c>
      <c r="N506" s="666"/>
      <c r="O506" s="170">
        <f>377000+75400</f>
        <v>452400</v>
      </c>
      <c r="P506" s="666"/>
      <c r="Q506" s="666"/>
      <c r="R506" s="666"/>
      <c r="S506" s="152">
        <f t="shared" si="134"/>
        <v>452400</v>
      </c>
      <c r="T506" s="666"/>
      <c r="U506" s="381">
        <f t="shared" si="132"/>
        <v>0</v>
      </c>
      <c r="V506" s="666"/>
      <c r="W506" s="666"/>
      <c r="X506" s="666"/>
      <c r="Y506" s="152">
        <f t="shared" si="135"/>
        <v>0</v>
      </c>
      <c r="Z506" s="666"/>
      <c r="AA506" s="666"/>
      <c r="AB506" s="666"/>
      <c r="AC506" s="666"/>
      <c r="AD506" s="666"/>
      <c r="AE506" s="666"/>
      <c r="AF506" s="585"/>
      <c r="AP506" s="666"/>
    </row>
    <row r="507" spans="2:42" ht="45">
      <c r="B507" s="193">
        <v>25</v>
      </c>
      <c r="C507" s="172" t="s">
        <v>317</v>
      </c>
      <c r="D507" s="171" t="s">
        <v>318</v>
      </c>
      <c r="E507" s="666"/>
      <c r="F507" s="560"/>
      <c r="G507" s="558"/>
      <c r="H507" s="666"/>
      <c r="I507" s="155">
        <v>127001.9</v>
      </c>
      <c r="J507" s="390"/>
      <c r="K507" s="390"/>
      <c r="L507" s="390"/>
      <c r="M507" s="415">
        <f t="shared" si="133"/>
        <v>127001.9</v>
      </c>
      <c r="N507" s="666"/>
      <c r="O507" s="170">
        <f>32766.5+18783.58+20358.41+34442.92+7950.3+12700.19</f>
        <v>127001.90000000001</v>
      </c>
      <c r="P507" s="666"/>
      <c r="Q507" s="666"/>
      <c r="R507" s="666"/>
      <c r="S507" s="152">
        <f t="shared" si="134"/>
        <v>127001.90000000001</v>
      </c>
      <c r="T507" s="666"/>
      <c r="U507" s="381">
        <f t="shared" si="132"/>
        <v>0</v>
      </c>
      <c r="V507" s="666"/>
      <c r="W507" s="666"/>
      <c r="X507" s="666"/>
      <c r="Y507" s="152">
        <f t="shared" si="135"/>
        <v>0</v>
      </c>
      <c r="Z507" s="666"/>
      <c r="AA507" s="666"/>
      <c r="AB507" s="666"/>
      <c r="AC507" s="666"/>
      <c r="AD507" s="666"/>
      <c r="AE507" s="666"/>
      <c r="AF507" s="585"/>
      <c r="AP507" s="666"/>
    </row>
    <row r="508" spans="2:42" ht="30">
      <c r="B508" s="348">
        <v>26</v>
      </c>
      <c r="C508" s="172" t="s">
        <v>319</v>
      </c>
      <c r="D508" s="171" t="s">
        <v>320</v>
      </c>
      <c r="E508" s="666"/>
      <c r="F508" s="560"/>
      <c r="G508" s="558"/>
      <c r="H508" s="666"/>
      <c r="I508" s="155">
        <v>107967.19</v>
      </c>
      <c r="J508" s="390"/>
      <c r="K508" s="390"/>
      <c r="L508" s="390"/>
      <c r="M508" s="415">
        <f t="shared" si="133"/>
        <v>107967.19</v>
      </c>
      <c r="N508" s="666"/>
      <c r="O508" s="170">
        <f>10796.72+2159.34+3239.01+5398.36+21593.44+43186.87+10796.72+10796.72</f>
        <v>107967.18</v>
      </c>
      <c r="P508" s="666"/>
      <c r="Q508" s="666"/>
      <c r="R508" s="666"/>
      <c r="S508" s="152">
        <f t="shared" si="134"/>
        <v>107967.18</v>
      </c>
      <c r="T508" s="666"/>
      <c r="U508" s="381">
        <f t="shared" si="132"/>
        <v>1.0000000009313226E-2</v>
      </c>
      <c r="V508" s="666"/>
      <c r="W508" s="666"/>
      <c r="X508" s="666"/>
      <c r="Y508" s="152">
        <f t="shared" si="135"/>
        <v>1.0000000009313226E-2</v>
      </c>
      <c r="Z508" s="666"/>
      <c r="AA508" s="666"/>
      <c r="AB508" s="666"/>
      <c r="AC508" s="666"/>
      <c r="AD508" s="666"/>
      <c r="AE508" s="666"/>
      <c r="AF508" s="585"/>
      <c r="AP508" s="666"/>
    </row>
    <row r="509" spans="2:42" ht="30">
      <c r="B509" s="193">
        <v>27</v>
      </c>
      <c r="C509" s="172" t="s">
        <v>321</v>
      </c>
      <c r="D509" s="171" t="s">
        <v>322</v>
      </c>
      <c r="E509" s="666"/>
      <c r="F509" s="560"/>
      <c r="G509" s="558"/>
      <c r="H509" s="666"/>
      <c r="I509" s="155">
        <v>23689.38</v>
      </c>
      <c r="J509" s="390"/>
      <c r="K509" s="390"/>
      <c r="L509" s="390"/>
      <c r="M509" s="415">
        <f t="shared" si="133"/>
        <v>23689.38</v>
      </c>
      <c r="N509" s="666"/>
      <c r="O509" s="170">
        <f>4211.6+15752.37+3725.41</f>
        <v>23689.38</v>
      </c>
      <c r="P509" s="666"/>
      <c r="Q509" s="666"/>
      <c r="R509" s="666"/>
      <c r="S509" s="152">
        <f t="shared" si="134"/>
        <v>23689.38</v>
      </c>
      <c r="T509" s="666"/>
      <c r="U509" s="381">
        <f t="shared" si="132"/>
        <v>0</v>
      </c>
      <c r="V509" s="666"/>
      <c r="W509" s="666"/>
      <c r="X509" s="666"/>
      <c r="Y509" s="152">
        <f t="shared" si="135"/>
        <v>0</v>
      </c>
      <c r="Z509" s="666"/>
      <c r="AA509" s="666"/>
      <c r="AB509" s="666"/>
      <c r="AC509" s="666"/>
      <c r="AD509" s="666"/>
      <c r="AE509" s="666"/>
      <c r="AF509" s="585"/>
      <c r="AP509" s="666"/>
    </row>
    <row r="510" spans="2:42" ht="60">
      <c r="B510" s="193">
        <v>28</v>
      </c>
      <c r="C510" s="172" t="s">
        <v>323</v>
      </c>
      <c r="D510" s="171" t="s">
        <v>324</v>
      </c>
      <c r="E510" s="666"/>
      <c r="F510" s="560"/>
      <c r="G510" s="558"/>
      <c r="H510" s="666"/>
      <c r="I510" s="170">
        <v>80636.649999999994</v>
      </c>
      <c r="J510" s="390"/>
      <c r="K510" s="390"/>
      <c r="L510" s="390"/>
      <c r="M510" s="415">
        <f t="shared" si="133"/>
        <v>80636.649999999994</v>
      </c>
      <c r="N510" s="666"/>
      <c r="O510" s="170">
        <f>17240.12+15143.57+7257.3+22779.86+4241.49+13974.3</f>
        <v>80636.639999999999</v>
      </c>
      <c r="P510" s="666"/>
      <c r="Q510" s="666"/>
      <c r="R510" s="666"/>
      <c r="S510" s="152">
        <f t="shared" si="134"/>
        <v>80636.639999999999</v>
      </c>
      <c r="T510" s="666"/>
      <c r="U510" s="381">
        <f t="shared" si="132"/>
        <v>9.9999999947613105E-3</v>
      </c>
      <c r="V510" s="666"/>
      <c r="W510" s="666"/>
      <c r="X510" s="666"/>
      <c r="Y510" s="152">
        <f t="shared" si="135"/>
        <v>9.9999999947613105E-3</v>
      </c>
      <c r="Z510" s="666"/>
      <c r="AA510" s="666"/>
      <c r="AB510" s="666"/>
      <c r="AC510" s="666"/>
      <c r="AD510" s="666"/>
      <c r="AE510" s="666"/>
      <c r="AF510" s="585"/>
      <c r="AP510" s="666"/>
    </row>
    <row r="511" spans="2:42" ht="45">
      <c r="B511" s="193">
        <v>29</v>
      </c>
      <c r="C511" s="172" t="s">
        <v>321</v>
      </c>
      <c r="D511" s="171" t="s">
        <v>325</v>
      </c>
      <c r="E511" s="666"/>
      <c r="F511" s="560"/>
      <c r="G511" s="558"/>
      <c r="H511" s="666"/>
      <c r="I511" s="170">
        <v>44903.55</v>
      </c>
      <c r="J511" s="390"/>
      <c r="K511" s="390"/>
      <c r="L511" s="390"/>
      <c r="M511" s="415">
        <f t="shared" si="133"/>
        <v>44903.55</v>
      </c>
      <c r="N511" s="666"/>
      <c r="O511" s="170">
        <f>16181.07+20972.29+7750.19</f>
        <v>44903.55</v>
      </c>
      <c r="P511" s="666"/>
      <c r="Q511" s="666"/>
      <c r="R511" s="666"/>
      <c r="S511" s="152">
        <f t="shared" si="134"/>
        <v>44903.55</v>
      </c>
      <c r="T511" s="666"/>
      <c r="U511" s="381">
        <f t="shared" si="132"/>
        <v>0</v>
      </c>
      <c r="V511" s="666"/>
      <c r="W511" s="666"/>
      <c r="X511" s="666"/>
      <c r="Y511" s="152">
        <f t="shared" si="135"/>
        <v>0</v>
      </c>
      <c r="Z511" s="666"/>
      <c r="AA511" s="666"/>
      <c r="AB511" s="666"/>
      <c r="AC511" s="666"/>
      <c r="AD511" s="666"/>
      <c r="AE511" s="666"/>
      <c r="AF511" s="585"/>
      <c r="AP511" s="666"/>
    </row>
    <row r="512" spans="2:42" ht="45">
      <c r="B512" s="193">
        <v>30</v>
      </c>
      <c r="C512" s="172" t="s">
        <v>326</v>
      </c>
      <c r="D512" s="171" t="s">
        <v>327</v>
      </c>
      <c r="E512" s="666"/>
      <c r="F512" s="560"/>
      <c r="G512" s="558"/>
      <c r="H512" s="666"/>
      <c r="I512" s="170">
        <v>46485.1</v>
      </c>
      <c r="J512" s="390"/>
      <c r="K512" s="390"/>
      <c r="L512" s="390"/>
      <c r="M512" s="415">
        <f t="shared" si="133"/>
        <v>46485.1</v>
      </c>
      <c r="N512" s="666"/>
      <c r="O512" s="170">
        <f>19009.66+27475.44</f>
        <v>46485.1</v>
      </c>
      <c r="P512" s="666"/>
      <c r="Q512" s="666"/>
      <c r="R512" s="666"/>
      <c r="S512" s="152">
        <f t="shared" si="134"/>
        <v>46485.1</v>
      </c>
      <c r="T512" s="666"/>
      <c r="U512" s="381">
        <f t="shared" si="132"/>
        <v>0</v>
      </c>
      <c r="V512" s="666"/>
      <c r="W512" s="666"/>
      <c r="X512" s="666"/>
      <c r="Y512" s="152">
        <f t="shared" si="135"/>
        <v>0</v>
      </c>
      <c r="Z512" s="666"/>
      <c r="AA512" s="666"/>
      <c r="AB512" s="666"/>
      <c r="AC512" s="666"/>
      <c r="AD512" s="666"/>
      <c r="AE512" s="666"/>
      <c r="AF512" s="585"/>
      <c r="AP512" s="666"/>
    </row>
    <row r="513" spans="1:42" ht="45">
      <c r="B513" s="193">
        <v>31</v>
      </c>
      <c r="C513" s="172" t="s">
        <v>326</v>
      </c>
      <c r="D513" s="171" t="s">
        <v>328</v>
      </c>
      <c r="E513" s="666"/>
      <c r="F513" s="560"/>
      <c r="G513" s="558"/>
      <c r="H513" s="666"/>
      <c r="I513" s="170">
        <v>89980.83</v>
      </c>
      <c r="J513" s="390"/>
      <c r="K513" s="390"/>
      <c r="L513" s="390"/>
      <c r="M513" s="415">
        <f t="shared" si="133"/>
        <v>89980.83</v>
      </c>
      <c r="N513" s="666"/>
      <c r="O513" s="170">
        <f>27299.58+52251.25+6953.26+3476.74</f>
        <v>89980.83</v>
      </c>
      <c r="P513" s="666"/>
      <c r="Q513" s="666"/>
      <c r="R513" s="666"/>
      <c r="S513" s="152">
        <f t="shared" si="134"/>
        <v>89980.83</v>
      </c>
      <c r="T513" s="666"/>
      <c r="U513" s="381">
        <f t="shared" si="132"/>
        <v>0</v>
      </c>
      <c r="V513" s="666"/>
      <c r="W513" s="666"/>
      <c r="X513" s="666"/>
      <c r="Y513" s="152">
        <f t="shared" si="135"/>
        <v>0</v>
      </c>
      <c r="Z513" s="666"/>
      <c r="AA513" s="666"/>
      <c r="AB513" s="666"/>
      <c r="AC513" s="666"/>
      <c r="AD513" s="666"/>
      <c r="AE513" s="666"/>
      <c r="AF513" s="585"/>
      <c r="AP513" s="666"/>
    </row>
    <row r="514" spans="1:42" ht="60">
      <c r="B514" s="193">
        <v>32</v>
      </c>
      <c r="C514" s="172" t="s">
        <v>326</v>
      </c>
      <c r="D514" s="171" t="s">
        <v>329</v>
      </c>
      <c r="E514" s="666"/>
      <c r="F514" s="560"/>
      <c r="G514" s="558"/>
      <c r="H514" s="666"/>
      <c r="I514" s="170">
        <v>59636.160000000003</v>
      </c>
      <c r="J514" s="390"/>
      <c r="K514" s="390"/>
      <c r="L514" s="390"/>
      <c r="M514" s="415">
        <f t="shared" si="133"/>
        <v>59636.160000000003</v>
      </c>
      <c r="N514" s="666"/>
      <c r="O514" s="170">
        <f>43169.63+16466.53</f>
        <v>59636.159999999996</v>
      </c>
      <c r="P514" s="666"/>
      <c r="Q514" s="666"/>
      <c r="R514" s="666"/>
      <c r="S514" s="152">
        <f t="shared" si="134"/>
        <v>59636.159999999996</v>
      </c>
      <c r="T514" s="666"/>
      <c r="U514" s="381">
        <f t="shared" si="132"/>
        <v>0</v>
      </c>
      <c r="V514" s="666"/>
      <c r="W514" s="666"/>
      <c r="X514" s="666"/>
      <c r="Y514" s="152">
        <f t="shared" si="135"/>
        <v>0</v>
      </c>
      <c r="Z514" s="666"/>
      <c r="AA514" s="666"/>
      <c r="AB514" s="666"/>
      <c r="AC514" s="666"/>
      <c r="AD514" s="666"/>
      <c r="AE514" s="666"/>
      <c r="AF514" s="585"/>
      <c r="AP514" s="666"/>
    </row>
    <row r="515" spans="1:42" ht="45">
      <c r="B515" s="193">
        <v>33</v>
      </c>
      <c r="C515" s="172" t="s">
        <v>330</v>
      </c>
      <c r="D515" s="171" t="s">
        <v>331</v>
      </c>
      <c r="E515" s="666"/>
      <c r="F515" s="560"/>
      <c r="G515" s="558"/>
      <c r="H515" s="666"/>
      <c r="I515" s="170">
        <v>26997.75</v>
      </c>
      <c r="J515" s="390"/>
      <c r="K515" s="390"/>
      <c r="L515" s="390"/>
      <c r="M515" s="415">
        <f t="shared" si="133"/>
        <v>26997.75</v>
      </c>
      <c r="N515" s="666"/>
      <c r="O515" s="170">
        <f>7572.83+7206.81+7954.31+2799.67</f>
        <v>25533.620000000003</v>
      </c>
      <c r="P515" s="666"/>
      <c r="Q515" s="666"/>
      <c r="R515" s="666"/>
      <c r="S515" s="152">
        <f t="shared" si="134"/>
        <v>25533.620000000003</v>
      </c>
      <c r="T515" s="666"/>
      <c r="U515" s="170">
        <f t="shared" si="132"/>
        <v>1464.1299999999974</v>
      </c>
      <c r="V515" s="666"/>
      <c r="W515" s="666"/>
      <c r="X515" s="666"/>
      <c r="Y515" s="152">
        <f t="shared" si="135"/>
        <v>1464.1299999999974</v>
      </c>
      <c r="Z515" s="666"/>
      <c r="AA515" s="666"/>
      <c r="AB515" s="666"/>
      <c r="AC515" s="666"/>
      <c r="AD515" s="666"/>
      <c r="AE515" s="666"/>
      <c r="AF515" s="585"/>
      <c r="AP515" s="666" t="s">
        <v>1406</v>
      </c>
    </row>
    <row r="516" spans="1:42" ht="45">
      <c r="B516" s="193">
        <v>34</v>
      </c>
      <c r="C516" s="172" t="s">
        <v>330</v>
      </c>
      <c r="D516" s="171" t="s">
        <v>332</v>
      </c>
      <c r="E516" s="666"/>
      <c r="F516" s="560"/>
      <c r="G516" s="558"/>
      <c r="H516" s="666"/>
      <c r="I516" s="170">
        <v>25775.439999999999</v>
      </c>
      <c r="J516" s="390"/>
      <c r="K516" s="390"/>
      <c r="L516" s="390"/>
      <c r="M516" s="415">
        <f t="shared" si="133"/>
        <v>25775.439999999999</v>
      </c>
      <c r="N516" s="666"/>
      <c r="O516" s="170">
        <f>8964.8</f>
        <v>8964.7999999999993</v>
      </c>
      <c r="P516" s="666"/>
      <c r="Q516" s="666"/>
      <c r="R516" s="666"/>
      <c r="S516" s="152">
        <f t="shared" si="134"/>
        <v>8964.7999999999993</v>
      </c>
      <c r="T516" s="666"/>
      <c r="U516" s="170">
        <f t="shared" si="132"/>
        <v>16810.64</v>
      </c>
      <c r="V516" s="666"/>
      <c r="W516" s="666"/>
      <c r="X516" s="666"/>
      <c r="Y516" s="152">
        <f t="shared" si="135"/>
        <v>16810.64</v>
      </c>
      <c r="Z516" s="666"/>
      <c r="AA516" s="666"/>
      <c r="AB516" s="666"/>
      <c r="AC516" s="666"/>
      <c r="AD516" s="666"/>
      <c r="AE516" s="666"/>
      <c r="AF516" s="585"/>
      <c r="AP516" s="666" t="s">
        <v>1406</v>
      </c>
    </row>
    <row r="517" spans="1:42" ht="30">
      <c r="B517" s="193">
        <v>35</v>
      </c>
      <c r="C517" s="172" t="s">
        <v>333</v>
      </c>
      <c r="D517" s="171" t="s">
        <v>334</v>
      </c>
      <c r="E517" s="666"/>
      <c r="F517" s="560"/>
      <c r="G517" s="558"/>
      <c r="H517" s="666"/>
      <c r="I517" s="155">
        <f>367199.05-174823.49</f>
        <v>192375.56</v>
      </c>
      <c r="J517" s="390"/>
      <c r="K517" s="390"/>
      <c r="L517" s="390"/>
      <c r="M517" s="415">
        <f t="shared" si="133"/>
        <v>192375.56</v>
      </c>
      <c r="N517" s="666"/>
      <c r="O517" s="170">
        <f>3745.43+27833.69+42044.29+28384.48+23831.21+66536.46</f>
        <v>192375.56</v>
      </c>
      <c r="P517" s="666"/>
      <c r="Q517" s="666"/>
      <c r="R517" s="666"/>
      <c r="S517" s="152">
        <f t="shared" si="134"/>
        <v>192375.56</v>
      </c>
      <c r="T517" s="666"/>
      <c r="U517" s="170">
        <f t="shared" si="132"/>
        <v>0</v>
      </c>
      <c r="V517" s="666"/>
      <c r="W517" s="666"/>
      <c r="X517" s="666"/>
      <c r="Y517" s="152">
        <f t="shared" si="135"/>
        <v>0</v>
      </c>
      <c r="Z517" s="666"/>
      <c r="AA517" s="666"/>
      <c r="AB517" s="666"/>
      <c r="AC517" s="666"/>
      <c r="AD517" s="666"/>
      <c r="AE517" s="666"/>
      <c r="AF517" s="585"/>
      <c r="AP517" s="666"/>
    </row>
    <row r="518" spans="1:42" ht="30">
      <c r="B518" s="193">
        <v>36</v>
      </c>
      <c r="C518" s="216" t="s">
        <v>348</v>
      </c>
      <c r="D518" s="365" t="s">
        <v>823</v>
      </c>
      <c r="E518" s="666"/>
      <c r="F518" s="423" t="s">
        <v>847</v>
      </c>
      <c r="G518" s="762"/>
      <c r="H518" s="666"/>
      <c r="I518" s="155">
        <f>194873.48-2009.35</f>
        <v>192864.13</v>
      </c>
      <c r="J518" s="390"/>
      <c r="K518" s="390"/>
      <c r="L518" s="390"/>
      <c r="M518" s="415">
        <f t="shared" si="133"/>
        <v>192864.13</v>
      </c>
      <c r="N518" s="666"/>
      <c r="O518" s="170">
        <v>192864.13</v>
      </c>
      <c r="P518" s="666"/>
      <c r="Q518" s="666"/>
      <c r="R518" s="666"/>
      <c r="S518" s="152">
        <f t="shared" si="134"/>
        <v>192864.13</v>
      </c>
      <c r="T518" s="666"/>
      <c r="U518" s="381">
        <f t="shared" si="132"/>
        <v>0</v>
      </c>
      <c r="V518" s="666"/>
      <c r="W518" s="666"/>
      <c r="X518" s="666"/>
      <c r="Y518" s="152">
        <f t="shared" si="135"/>
        <v>0</v>
      </c>
      <c r="Z518" s="666"/>
      <c r="AA518" s="666"/>
      <c r="AB518" s="666"/>
      <c r="AC518" s="666"/>
      <c r="AD518" s="666"/>
      <c r="AE518" s="666"/>
      <c r="AF518" s="585"/>
      <c r="AP518" s="666"/>
    </row>
    <row r="519" spans="1:42" ht="30">
      <c r="B519" s="193">
        <v>37</v>
      </c>
      <c r="C519" s="216" t="s">
        <v>366</v>
      </c>
      <c r="D519" s="365" t="s">
        <v>367</v>
      </c>
      <c r="E519" s="666"/>
      <c r="F519" s="572" t="s">
        <v>847</v>
      </c>
      <c r="G519" s="773"/>
      <c r="H519" s="666"/>
      <c r="I519" s="155">
        <v>109113.33</v>
      </c>
      <c r="J519" s="390"/>
      <c r="K519" s="390"/>
      <c r="L519" s="390"/>
      <c r="M519" s="415">
        <f t="shared" si="133"/>
        <v>109113.33</v>
      </c>
      <c r="N519" s="666"/>
      <c r="O519" s="170">
        <v>0</v>
      </c>
      <c r="P519" s="666"/>
      <c r="Q519" s="666"/>
      <c r="R519" s="666"/>
      <c r="S519" s="152">
        <f t="shared" si="134"/>
        <v>0</v>
      </c>
      <c r="T519" s="666"/>
      <c r="U519" s="381">
        <f t="shared" si="132"/>
        <v>109113.33</v>
      </c>
      <c r="V519" s="666"/>
      <c r="W519" s="666"/>
      <c r="X519" s="666"/>
      <c r="Y519" s="152">
        <f t="shared" si="135"/>
        <v>109113.33</v>
      </c>
      <c r="Z519" s="666"/>
      <c r="AA519" s="666"/>
      <c r="AB519" s="666"/>
      <c r="AC519" s="666"/>
      <c r="AD519" s="666"/>
      <c r="AE519" s="666"/>
      <c r="AF519" s="804">
        <v>109113.33</v>
      </c>
      <c r="AP519" s="666"/>
    </row>
    <row r="520" spans="1:42" ht="75">
      <c r="B520" s="193">
        <v>38</v>
      </c>
      <c r="C520" s="159" t="s">
        <v>151</v>
      </c>
      <c r="D520" s="347" t="s">
        <v>824</v>
      </c>
      <c r="E520" s="672" t="s">
        <v>1411</v>
      </c>
      <c r="F520" s="560"/>
      <c r="G520" s="558"/>
      <c r="H520" s="666"/>
      <c r="I520" s="170">
        <f>279797.26-136195.66</f>
        <v>143601.60000000001</v>
      </c>
      <c r="J520" s="390"/>
      <c r="K520" s="390"/>
      <c r="L520" s="390"/>
      <c r="M520" s="415">
        <f t="shared" si="133"/>
        <v>143601.60000000001</v>
      </c>
      <c r="N520" s="666"/>
      <c r="O520" s="170">
        <v>143601.60000000001</v>
      </c>
      <c r="P520" s="666"/>
      <c r="Q520" s="666"/>
      <c r="R520" s="666"/>
      <c r="S520" s="152">
        <f t="shared" si="134"/>
        <v>143601.60000000001</v>
      </c>
      <c r="T520" s="666"/>
      <c r="U520" s="170">
        <f t="shared" si="132"/>
        <v>0</v>
      </c>
      <c r="V520" s="666"/>
      <c r="W520" s="666"/>
      <c r="X520" s="666"/>
      <c r="Y520" s="152">
        <f t="shared" si="135"/>
        <v>0</v>
      </c>
      <c r="Z520" s="420">
        <f>1294919.25+102496.76+119582.85</f>
        <v>1516998.86</v>
      </c>
      <c r="AA520" s="420">
        <v>143601.60000000001</v>
      </c>
      <c r="AB520" s="420">
        <v>136195.66</v>
      </c>
      <c r="AC520" s="420">
        <v>1100000</v>
      </c>
      <c r="AD520" s="420">
        <v>0</v>
      </c>
      <c r="AE520" s="420">
        <f>SUM(Z520:AD520)</f>
        <v>2896796.12</v>
      </c>
      <c r="AF520" s="585"/>
      <c r="AP520" s="666"/>
    </row>
    <row r="521" spans="1:42" ht="90">
      <c r="B521" s="193">
        <v>39</v>
      </c>
      <c r="C521" s="361" t="s">
        <v>825</v>
      </c>
      <c r="D521" s="362" t="s">
        <v>826</v>
      </c>
      <c r="E521" s="666"/>
      <c r="F521" s="423" t="s">
        <v>1156</v>
      </c>
      <c r="G521" s="762"/>
      <c r="H521" s="666"/>
      <c r="I521" s="155">
        <f>35000+58674.46</f>
        <v>93674.459999999992</v>
      </c>
      <c r="J521" s="390"/>
      <c r="K521" s="390"/>
      <c r="L521" s="390"/>
      <c r="M521" s="415">
        <f t="shared" si="133"/>
        <v>93674.459999999992</v>
      </c>
      <c r="N521" s="666"/>
      <c r="O521" s="170">
        <v>93674.46</v>
      </c>
      <c r="P521" s="666"/>
      <c r="Q521" s="666"/>
      <c r="R521" s="666"/>
      <c r="S521" s="152">
        <f t="shared" si="134"/>
        <v>93674.46</v>
      </c>
      <c r="T521" s="666"/>
      <c r="U521" s="381">
        <f t="shared" si="132"/>
        <v>0</v>
      </c>
      <c r="V521" s="666"/>
      <c r="W521" s="666"/>
      <c r="X521" s="666"/>
      <c r="Y521" s="152">
        <f t="shared" si="135"/>
        <v>0</v>
      </c>
      <c r="Z521" s="420">
        <v>0</v>
      </c>
      <c r="AA521" s="420">
        <v>93674.46</v>
      </c>
      <c r="AB521" s="420">
        <v>0</v>
      </c>
      <c r="AC521" s="420">
        <v>1027730.07</v>
      </c>
      <c r="AD521" s="420">
        <v>0</v>
      </c>
      <c r="AE521" s="420">
        <f>SUM(Z521:AD521)</f>
        <v>1121404.53</v>
      </c>
      <c r="AF521" s="585"/>
      <c r="AP521" s="666"/>
    </row>
    <row r="522" spans="1:42" ht="105">
      <c r="B522" s="193">
        <v>40</v>
      </c>
      <c r="C522" s="175" t="s">
        <v>357</v>
      </c>
      <c r="D522" s="365" t="s">
        <v>358</v>
      </c>
      <c r="E522" s="666"/>
      <c r="F522" s="571" t="s">
        <v>1043</v>
      </c>
      <c r="G522" s="772"/>
      <c r="H522" s="666"/>
      <c r="I522" s="170">
        <v>106867.43</v>
      </c>
      <c r="J522" s="390"/>
      <c r="K522" s="390"/>
      <c r="L522" s="390"/>
      <c r="M522" s="415">
        <f t="shared" si="133"/>
        <v>106867.43</v>
      </c>
      <c r="N522" s="666"/>
      <c r="O522" s="170">
        <v>106867.43</v>
      </c>
      <c r="P522" s="666"/>
      <c r="Q522" s="666"/>
      <c r="R522" s="666"/>
      <c r="S522" s="152">
        <f t="shared" si="134"/>
        <v>106867.43</v>
      </c>
      <c r="T522" s="666"/>
      <c r="U522" s="381">
        <f t="shared" si="132"/>
        <v>0</v>
      </c>
      <c r="V522" s="666"/>
      <c r="W522" s="666"/>
      <c r="X522" s="666"/>
      <c r="Y522" s="152">
        <f t="shared" si="135"/>
        <v>0</v>
      </c>
      <c r="Z522" s="420">
        <v>0</v>
      </c>
      <c r="AA522" s="420">
        <v>106867.43</v>
      </c>
      <c r="AB522" s="420">
        <f>235770+9150.08</f>
        <v>244920.08</v>
      </c>
      <c r="AC522" s="420">
        <v>235770</v>
      </c>
      <c r="AD522" s="420">
        <v>0</v>
      </c>
      <c r="AE522" s="420">
        <f>SUM(Z522:AD522)</f>
        <v>587557.51</v>
      </c>
      <c r="AF522" s="440">
        <f>587557.51-AE522</f>
        <v>0</v>
      </c>
      <c r="AP522" s="666"/>
    </row>
    <row r="523" spans="1:42" ht="31.5">
      <c r="B523" s="492">
        <v>41</v>
      </c>
      <c r="C523" s="492" t="s">
        <v>827</v>
      </c>
      <c r="D523" s="363" t="s">
        <v>828</v>
      </c>
      <c r="E523" s="666"/>
      <c r="F523" s="560"/>
      <c r="G523" s="558"/>
      <c r="H523" s="666"/>
      <c r="I523" s="155">
        <v>65151.53</v>
      </c>
      <c r="J523" s="390"/>
      <c r="K523" s="390"/>
      <c r="L523" s="390"/>
      <c r="M523" s="415">
        <f t="shared" si="133"/>
        <v>65151.53</v>
      </c>
      <c r="N523" s="666"/>
      <c r="O523" s="155">
        <v>65151.53</v>
      </c>
      <c r="P523" s="666"/>
      <c r="Q523" s="666"/>
      <c r="R523" s="666"/>
      <c r="S523" s="152">
        <f t="shared" si="134"/>
        <v>65151.53</v>
      </c>
      <c r="T523" s="666"/>
      <c r="U523" s="381">
        <f t="shared" si="132"/>
        <v>0</v>
      </c>
      <c r="V523" s="666"/>
      <c r="W523" s="666"/>
      <c r="X523" s="666"/>
      <c r="Y523" s="152">
        <f t="shared" si="135"/>
        <v>0</v>
      </c>
      <c r="Z523" s="666"/>
      <c r="AA523" s="666"/>
      <c r="AB523" s="666"/>
      <c r="AC523" s="666"/>
      <c r="AD523" s="666"/>
      <c r="AE523" s="666"/>
      <c r="AF523" s="585"/>
      <c r="AP523" s="666"/>
    </row>
    <row r="524" spans="1:42" ht="60">
      <c r="B524" s="492">
        <v>42</v>
      </c>
      <c r="C524" s="216" t="s">
        <v>342</v>
      </c>
      <c r="D524" s="163" t="s">
        <v>343</v>
      </c>
      <c r="E524" s="666"/>
      <c r="F524" s="423" t="s">
        <v>846</v>
      </c>
      <c r="G524" s="762"/>
      <c r="H524" s="666"/>
      <c r="I524" s="155">
        <v>112082.65</v>
      </c>
      <c r="J524" s="390"/>
      <c r="K524" s="390"/>
      <c r="L524" s="390"/>
      <c r="M524" s="415">
        <f t="shared" si="133"/>
        <v>112082.65</v>
      </c>
      <c r="N524" s="666"/>
      <c r="O524" s="155">
        <v>112082.65</v>
      </c>
      <c r="P524" s="666"/>
      <c r="Q524" s="666"/>
      <c r="R524" s="666"/>
      <c r="S524" s="152">
        <f t="shared" si="134"/>
        <v>112082.65</v>
      </c>
      <c r="T524" s="666"/>
      <c r="U524" s="381">
        <f t="shared" si="132"/>
        <v>0</v>
      </c>
      <c r="V524" s="666"/>
      <c r="W524" s="666"/>
      <c r="X524" s="666"/>
      <c r="Y524" s="152">
        <f t="shared" si="135"/>
        <v>0</v>
      </c>
      <c r="Z524" s="666"/>
      <c r="AA524" s="666"/>
      <c r="AB524" s="666"/>
      <c r="AC524" s="666"/>
      <c r="AD524" s="666"/>
      <c r="AE524" s="666"/>
      <c r="AF524" s="585"/>
      <c r="AP524" s="666"/>
    </row>
    <row r="525" spans="1:42" ht="141.75">
      <c r="A525" t="s">
        <v>845</v>
      </c>
      <c r="B525" s="172">
        <v>43</v>
      </c>
      <c r="C525" s="376" t="s">
        <v>878</v>
      </c>
      <c r="D525" s="363" t="s">
        <v>786</v>
      </c>
      <c r="E525" s="666"/>
      <c r="F525" s="431" t="s">
        <v>1152</v>
      </c>
      <c r="G525" s="736"/>
      <c r="H525" s="666"/>
      <c r="I525" s="155">
        <v>200000</v>
      </c>
      <c r="J525" s="390"/>
      <c r="K525" s="390"/>
      <c r="L525" s="390"/>
      <c r="M525" s="415">
        <f t="shared" si="133"/>
        <v>200000</v>
      </c>
      <c r="N525" s="666"/>
      <c r="O525" s="155">
        <f>56785.9+86912.89+34481.68+21819.53</f>
        <v>200000</v>
      </c>
      <c r="P525" s="666"/>
      <c r="Q525" s="666"/>
      <c r="R525" s="666"/>
      <c r="S525" s="152">
        <f t="shared" si="134"/>
        <v>200000</v>
      </c>
      <c r="T525" s="666"/>
      <c r="U525" s="381">
        <f t="shared" si="132"/>
        <v>0</v>
      </c>
      <c r="V525" s="666"/>
      <c r="W525" s="666"/>
      <c r="X525" s="666"/>
      <c r="Y525" s="152">
        <f t="shared" si="135"/>
        <v>0</v>
      </c>
      <c r="Z525" s="420">
        <v>0</v>
      </c>
      <c r="AA525" s="420">
        <v>200000</v>
      </c>
      <c r="AB525" s="420">
        <v>77912.289999999994</v>
      </c>
      <c r="AC525" s="420">
        <v>0</v>
      </c>
      <c r="AD525" s="420">
        <v>0</v>
      </c>
      <c r="AE525" s="420">
        <f>SUM(Z525:AD525)</f>
        <v>277912.28999999998</v>
      </c>
      <c r="AF525" s="585"/>
      <c r="AP525" s="666"/>
    </row>
    <row r="526" spans="1:42" ht="76.5">
      <c r="B526" s="193">
        <v>44</v>
      </c>
      <c r="C526" s="61" t="s">
        <v>184</v>
      </c>
      <c r="D526" s="160" t="s">
        <v>185</v>
      </c>
      <c r="E526" s="666"/>
      <c r="F526" s="564" t="s">
        <v>870</v>
      </c>
      <c r="G526" s="564"/>
      <c r="H526" s="666"/>
      <c r="I526" s="170">
        <v>34459.81</v>
      </c>
      <c r="J526" s="390"/>
      <c r="K526" s="390"/>
      <c r="L526" s="390"/>
      <c r="M526" s="415">
        <f t="shared" si="133"/>
        <v>34459.81</v>
      </c>
      <c r="N526" s="666"/>
      <c r="O526" s="170">
        <v>34459.81</v>
      </c>
      <c r="P526" s="666"/>
      <c r="Q526" s="666"/>
      <c r="R526" s="666"/>
      <c r="S526" s="152">
        <f t="shared" si="134"/>
        <v>34459.81</v>
      </c>
      <c r="T526" s="666"/>
      <c r="U526" s="381">
        <f t="shared" si="132"/>
        <v>0</v>
      </c>
      <c r="V526" s="666"/>
      <c r="W526" s="666"/>
      <c r="X526" s="666"/>
      <c r="Y526" s="152">
        <f t="shared" si="135"/>
        <v>0</v>
      </c>
      <c r="Z526" s="420">
        <f>376736.92+53246.47</f>
        <v>429983.39</v>
      </c>
      <c r="AA526" s="420">
        <v>34459.81</v>
      </c>
      <c r="AB526" s="420">
        <v>0</v>
      </c>
      <c r="AC526" s="420">
        <v>0</v>
      </c>
      <c r="AD526" s="420">
        <v>0</v>
      </c>
      <c r="AE526" s="420">
        <f>SUM(Z526:AD526)</f>
        <v>464443.2</v>
      </c>
      <c r="AF526" s="585"/>
      <c r="AP526" s="666"/>
    </row>
    <row r="527" spans="1:42" ht="46.5">
      <c r="B527" s="193">
        <v>45</v>
      </c>
      <c r="C527" s="348" t="s">
        <v>254</v>
      </c>
      <c r="D527" s="160" t="s">
        <v>813</v>
      </c>
      <c r="E527" s="666"/>
      <c r="F527" s="564" t="s">
        <v>872</v>
      </c>
      <c r="G527" s="564"/>
      <c r="H527" s="666"/>
      <c r="I527" s="170">
        <v>44882.47</v>
      </c>
      <c r="J527" s="390"/>
      <c r="K527" s="390"/>
      <c r="L527" s="390"/>
      <c r="M527" s="415">
        <f t="shared" si="133"/>
        <v>44882.47</v>
      </c>
      <c r="N527" s="666"/>
      <c r="O527" s="170">
        <v>44882.46</v>
      </c>
      <c r="P527" s="666"/>
      <c r="Q527" s="666"/>
      <c r="R527" s="666"/>
      <c r="S527" s="152">
        <f t="shared" si="134"/>
        <v>44882.46</v>
      </c>
      <c r="T527" s="666"/>
      <c r="U527" s="381">
        <f t="shared" si="132"/>
        <v>1.0000000002037268E-2</v>
      </c>
      <c r="V527" s="666"/>
      <c r="W527" s="666"/>
      <c r="X527" s="666"/>
      <c r="Y527" s="152">
        <f t="shared" si="135"/>
        <v>1.0000000002037268E-2</v>
      </c>
      <c r="Z527" s="420">
        <f>615202.64+98978.4</f>
        <v>714181.04</v>
      </c>
      <c r="AA527" s="420">
        <v>44882.47</v>
      </c>
      <c r="AB527" s="420">
        <v>0</v>
      </c>
      <c r="AC527" s="420">
        <v>0</v>
      </c>
      <c r="AD527" s="420">
        <v>0</v>
      </c>
      <c r="AE527" s="420">
        <f>SUM(Z527:AD527)</f>
        <v>759063.51</v>
      </c>
      <c r="AF527" s="585"/>
      <c r="AP527" s="666"/>
    </row>
    <row r="528" spans="1:42" ht="30">
      <c r="B528" s="193">
        <v>46</v>
      </c>
      <c r="C528" s="176" t="s">
        <v>393</v>
      </c>
      <c r="D528" s="417" t="s">
        <v>394</v>
      </c>
      <c r="E528" s="666"/>
      <c r="F528" s="423" t="s">
        <v>847</v>
      </c>
      <c r="G528" s="762"/>
      <c r="H528" s="666"/>
      <c r="I528" s="170">
        <v>4772.0200000000004</v>
      </c>
      <c r="J528" s="390"/>
      <c r="K528" s="390"/>
      <c r="L528" s="390"/>
      <c r="M528" s="415">
        <f t="shared" si="133"/>
        <v>4772.0200000000004</v>
      </c>
      <c r="N528" s="666"/>
      <c r="O528" s="170">
        <v>4772.0200000000004</v>
      </c>
      <c r="P528" s="666"/>
      <c r="Q528" s="666"/>
      <c r="R528" s="666"/>
      <c r="S528" s="152">
        <f t="shared" si="134"/>
        <v>4772.0200000000004</v>
      </c>
      <c r="T528" s="666"/>
      <c r="U528" s="381">
        <f t="shared" si="132"/>
        <v>0</v>
      </c>
      <c r="V528" s="666"/>
      <c r="W528" s="666"/>
      <c r="X528" s="666"/>
      <c r="Y528" s="152">
        <f>SUM(T528:X528)</f>
        <v>0</v>
      </c>
      <c r="Z528" s="420">
        <v>0</v>
      </c>
      <c r="AA528" s="420">
        <v>4772.0200000000004</v>
      </c>
      <c r="AB528" s="420">
        <f>1166820.42+32834.85</f>
        <v>1199655.27</v>
      </c>
      <c r="AC528" s="420">
        <v>0</v>
      </c>
      <c r="AD528" s="420">
        <v>0</v>
      </c>
      <c r="AE528" s="420">
        <f>SUM(Z528:AD528)</f>
        <v>1204427.29</v>
      </c>
      <c r="AF528" s="585"/>
      <c r="AP528" s="666"/>
    </row>
    <row r="529" spans="2:42" ht="45">
      <c r="B529" s="193">
        <v>47</v>
      </c>
      <c r="C529" s="172" t="s">
        <v>1137</v>
      </c>
      <c r="D529" s="171" t="s">
        <v>1138</v>
      </c>
      <c r="E529" s="666"/>
      <c r="F529" s="564" t="s">
        <v>1155</v>
      </c>
      <c r="G529" s="564"/>
      <c r="H529" s="666"/>
      <c r="I529" s="155">
        <v>31617.54</v>
      </c>
      <c r="J529" s="390"/>
      <c r="K529" s="547"/>
      <c r="L529" s="547"/>
      <c r="M529" s="415">
        <f t="shared" si="133"/>
        <v>31617.54</v>
      </c>
      <c r="N529" s="545"/>
      <c r="O529" s="546">
        <v>31617.54</v>
      </c>
      <c r="P529" s="545"/>
      <c r="Q529" s="545"/>
      <c r="R529" s="545"/>
      <c r="S529" s="548">
        <f t="shared" si="134"/>
        <v>31617.54</v>
      </c>
      <c r="T529" s="545"/>
      <c r="U529" s="549">
        <f t="shared" si="132"/>
        <v>0</v>
      </c>
      <c r="V529" s="545"/>
      <c r="W529" s="545"/>
      <c r="X529" s="545"/>
      <c r="Y529" s="548">
        <f>SUM(T529:X529)</f>
        <v>0</v>
      </c>
      <c r="Z529" s="467">
        <v>0</v>
      </c>
      <c r="AA529" s="467">
        <v>31617.54</v>
      </c>
      <c r="AB529" s="587">
        <v>0</v>
      </c>
      <c r="AC529" s="467">
        <v>846772.29</v>
      </c>
      <c r="AD529" s="467">
        <v>0</v>
      </c>
      <c r="AE529" s="420">
        <f>SUM(Z529:AD529)</f>
        <v>878389.83000000007</v>
      </c>
      <c r="AF529" s="585"/>
      <c r="AP529" s="666"/>
    </row>
    <row r="530" spans="2:42" ht="45">
      <c r="B530" s="193">
        <v>48</v>
      </c>
      <c r="C530" s="216" t="s">
        <v>1139</v>
      </c>
      <c r="D530" s="360" t="s">
        <v>1140</v>
      </c>
      <c r="E530" s="666"/>
      <c r="F530" s="423" t="s">
        <v>1148</v>
      </c>
      <c r="G530" s="762"/>
      <c r="H530" s="666"/>
      <c r="I530" s="155">
        <v>675777.49</v>
      </c>
      <c r="J530" s="390"/>
      <c r="K530" s="547"/>
      <c r="L530" s="547"/>
      <c r="M530" s="415">
        <f t="shared" si="133"/>
        <v>675777.49</v>
      </c>
      <c r="N530" s="545"/>
      <c r="O530" s="546">
        <v>675777.49</v>
      </c>
      <c r="P530" s="545"/>
      <c r="Q530" s="545"/>
      <c r="R530" s="545"/>
      <c r="S530" s="548">
        <f t="shared" si="134"/>
        <v>675777.49</v>
      </c>
      <c r="T530" s="545"/>
      <c r="U530" s="549">
        <f t="shared" si="132"/>
        <v>0</v>
      </c>
      <c r="V530" s="545"/>
      <c r="W530" s="545"/>
      <c r="X530" s="545"/>
      <c r="Y530" s="548">
        <f>SUM(T530:X530)</f>
        <v>0</v>
      </c>
      <c r="Z530" s="467"/>
      <c r="AA530" s="467"/>
      <c r="AB530" s="467"/>
      <c r="AC530" s="467"/>
      <c r="AD530" s="467"/>
      <c r="AE530" s="467"/>
      <c r="AF530" s="585"/>
      <c r="AP530" s="666"/>
    </row>
    <row r="531" spans="2:42" s="465" customFormat="1" ht="60">
      <c r="B531" s="193">
        <v>49</v>
      </c>
      <c r="C531" s="193" t="s">
        <v>368</v>
      </c>
      <c r="D531" s="364" t="s">
        <v>369</v>
      </c>
      <c r="E531" s="683"/>
      <c r="F531" s="684" t="s">
        <v>1146</v>
      </c>
      <c r="G531" s="774"/>
      <c r="H531" s="683"/>
      <c r="I531" s="170">
        <v>13888218.42</v>
      </c>
      <c r="J531" s="390"/>
      <c r="K531" s="547"/>
      <c r="L531" s="547"/>
      <c r="M531" s="415">
        <f t="shared" si="133"/>
        <v>13888218.42</v>
      </c>
      <c r="N531" s="685"/>
      <c r="O531" s="546">
        <f>314919.24+799760.68+1249686.55+1181545.63+498253.61+1437492.61+556621.34+66260.62+37137.53+440503.91+372956.25+95897.26+549056.3+758836.46+587703.42+325924.84+61770.82+464667.66+683645.08+953746.22+136612.3+2315220.09</f>
        <v>13888218.420000002</v>
      </c>
      <c r="P531" s="685"/>
      <c r="Q531" s="685"/>
      <c r="R531" s="685"/>
      <c r="S531" s="686">
        <f t="shared" si="134"/>
        <v>13888218.420000002</v>
      </c>
      <c r="T531" s="685"/>
      <c r="U531" s="546">
        <f t="shared" si="132"/>
        <v>0</v>
      </c>
      <c r="V531" s="685"/>
      <c r="W531" s="685"/>
      <c r="X531" s="685"/>
      <c r="Y531" s="686">
        <f>SUM(T531:X531)</f>
        <v>0</v>
      </c>
      <c r="Z531" s="687"/>
      <c r="AA531" s="687"/>
      <c r="AB531" s="687"/>
      <c r="AC531" s="687"/>
      <c r="AD531" s="687"/>
      <c r="AE531" s="687"/>
      <c r="AF531" s="815"/>
      <c r="AP531" s="683"/>
    </row>
    <row r="532" spans="2:42" ht="60">
      <c r="B532" s="193">
        <v>50</v>
      </c>
      <c r="C532" s="176" t="s">
        <v>309</v>
      </c>
      <c r="D532" s="360" t="s">
        <v>310</v>
      </c>
      <c r="E532" s="666"/>
      <c r="F532" s="423"/>
      <c r="G532" s="762"/>
      <c r="H532" s="666"/>
      <c r="I532" s="155">
        <f>141612.51+297407.1</f>
        <v>439019.61</v>
      </c>
      <c r="J532" s="390"/>
      <c r="K532" s="547"/>
      <c r="L532" s="547"/>
      <c r="M532" s="415">
        <f t="shared" si="133"/>
        <v>439019.61</v>
      </c>
      <c r="N532" s="545"/>
      <c r="O532" s="546">
        <v>407293</v>
      </c>
      <c r="P532" s="545"/>
      <c r="Q532" s="545"/>
      <c r="R532" s="545"/>
      <c r="S532" s="548">
        <f t="shared" si="134"/>
        <v>407293</v>
      </c>
      <c r="T532" s="545"/>
      <c r="U532" s="549">
        <f t="shared" si="132"/>
        <v>31726.609999999986</v>
      </c>
      <c r="V532" s="545"/>
      <c r="W532" s="545"/>
      <c r="X532" s="545"/>
      <c r="Y532" s="548"/>
      <c r="Z532" s="467"/>
      <c r="AA532" s="467"/>
      <c r="AB532" s="467"/>
      <c r="AC532" s="467"/>
      <c r="AD532" s="467"/>
      <c r="AE532" s="467"/>
      <c r="AF532" s="804">
        <v>31726.61</v>
      </c>
      <c r="AP532" s="666"/>
    </row>
    <row r="533" spans="2:42" ht="45">
      <c r="B533" s="193">
        <v>51</v>
      </c>
      <c r="C533" s="176" t="s">
        <v>1230</v>
      </c>
      <c r="D533" s="360" t="s">
        <v>1231</v>
      </c>
      <c r="E533" s="666"/>
      <c r="F533" s="423"/>
      <c r="G533" s="762"/>
      <c r="H533" s="666"/>
      <c r="I533" s="155">
        <v>4943040</v>
      </c>
      <c r="J533" s="390"/>
      <c r="K533" s="547"/>
      <c r="L533" s="547"/>
      <c r="M533" s="415"/>
      <c r="N533" s="545"/>
      <c r="O533" s="546">
        <v>4943040</v>
      </c>
      <c r="P533" s="545"/>
      <c r="Q533" s="545"/>
      <c r="R533" s="545"/>
      <c r="S533" s="548">
        <f t="shared" si="134"/>
        <v>4943040</v>
      </c>
      <c r="T533" s="545"/>
      <c r="U533" s="546">
        <f>+I533-O533</f>
        <v>0</v>
      </c>
      <c r="V533" s="545"/>
      <c r="W533" s="545"/>
      <c r="X533" s="545"/>
      <c r="Y533" s="548"/>
      <c r="Z533" s="467"/>
      <c r="AA533" s="467"/>
      <c r="AB533" s="467"/>
      <c r="AC533" s="467"/>
      <c r="AD533" s="467"/>
      <c r="AE533" s="467"/>
      <c r="AF533" s="585"/>
      <c r="AP533" s="666"/>
    </row>
    <row r="534" spans="2:42" ht="30">
      <c r="B534" s="614">
        <v>52</v>
      </c>
      <c r="C534" s="176"/>
      <c r="D534" s="360" t="s">
        <v>1232</v>
      </c>
      <c r="E534" s="666"/>
      <c r="F534" s="423"/>
      <c r="G534" s="762"/>
      <c r="H534" s="666"/>
      <c r="I534" s="155">
        <v>362</v>
      </c>
      <c r="J534" s="390"/>
      <c r="K534" s="547"/>
      <c r="L534" s="547"/>
      <c r="M534" s="415"/>
      <c r="N534" s="545"/>
      <c r="O534" s="546"/>
      <c r="P534" s="545"/>
      <c r="Q534" s="545"/>
      <c r="R534" s="545"/>
      <c r="S534" s="548">
        <f t="shared" si="134"/>
        <v>0</v>
      </c>
      <c r="T534" s="545"/>
      <c r="U534" s="546">
        <f t="shared" ref="U534:U548" si="136">+I534-O534</f>
        <v>362</v>
      </c>
      <c r="V534" s="545"/>
      <c r="W534" s="545"/>
      <c r="X534" s="545"/>
      <c r="Y534" s="548"/>
      <c r="Z534" s="467"/>
      <c r="AA534" s="467"/>
      <c r="AB534" s="467"/>
      <c r="AC534" s="467"/>
      <c r="AD534" s="467"/>
      <c r="AE534" s="467"/>
      <c r="AF534" s="585"/>
      <c r="AP534" s="666"/>
    </row>
    <row r="535" spans="2:42" ht="60">
      <c r="B535" s="614">
        <v>52.1</v>
      </c>
      <c r="C535" s="176" t="s">
        <v>1233</v>
      </c>
      <c r="D535" s="360" t="s">
        <v>1234</v>
      </c>
      <c r="E535" s="666"/>
      <c r="F535" s="423"/>
      <c r="G535" s="762"/>
      <c r="H535" s="666"/>
      <c r="I535" s="155">
        <v>22611.440000000002</v>
      </c>
      <c r="J535" s="390"/>
      <c r="K535" s="547"/>
      <c r="L535" s="547"/>
      <c r="M535" s="415"/>
      <c r="N535" s="545"/>
      <c r="O535" s="546">
        <v>22611.439999999999</v>
      </c>
      <c r="P535" s="545"/>
      <c r="Q535" s="545"/>
      <c r="R535" s="545"/>
      <c r="S535" s="548">
        <f t="shared" si="134"/>
        <v>22611.439999999999</v>
      </c>
      <c r="T535" s="545"/>
      <c r="U535" s="546">
        <f t="shared" si="136"/>
        <v>0</v>
      </c>
      <c r="V535" s="545"/>
      <c r="W535" s="545"/>
      <c r="X535" s="545"/>
      <c r="Y535" s="548"/>
      <c r="Z535" s="467"/>
      <c r="AA535" s="467"/>
      <c r="AB535" s="467"/>
      <c r="AC535" s="467"/>
      <c r="AD535" s="467"/>
      <c r="AE535" s="467"/>
      <c r="AF535" s="585"/>
      <c r="AP535" s="666"/>
    </row>
    <row r="536" spans="2:42" ht="75">
      <c r="B536" s="614">
        <v>52.2</v>
      </c>
      <c r="C536" s="176" t="s">
        <v>1235</v>
      </c>
      <c r="D536" s="360" t="s">
        <v>1236</v>
      </c>
      <c r="E536" s="666"/>
      <c r="F536" s="423"/>
      <c r="G536" s="762"/>
      <c r="H536" s="666"/>
      <c r="I536" s="155">
        <v>45529.69</v>
      </c>
      <c r="J536" s="390"/>
      <c r="K536" s="547"/>
      <c r="L536" s="547"/>
      <c r="M536" s="415"/>
      <c r="N536" s="545"/>
      <c r="O536" s="546">
        <v>45529.26</v>
      </c>
      <c r="P536" s="545"/>
      <c r="Q536" s="545"/>
      <c r="R536" s="545"/>
      <c r="S536" s="548">
        <f t="shared" si="134"/>
        <v>45529.26</v>
      </c>
      <c r="T536" s="545"/>
      <c r="U536" s="546">
        <f t="shared" si="136"/>
        <v>0.43000000000029104</v>
      </c>
      <c r="V536" s="545"/>
      <c r="W536" s="545"/>
      <c r="X536" s="545"/>
      <c r="Y536" s="548"/>
      <c r="Z536" s="467"/>
      <c r="AA536" s="467"/>
      <c r="AB536" s="467"/>
      <c r="AC536" s="467"/>
      <c r="AD536" s="467"/>
      <c r="AE536" s="467"/>
      <c r="AF536" s="585"/>
      <c r="AP536" s="666"/>
    </row>
    <row r="537" spans="2:42" ht="45">
      <c r="B537" s="614">
        <v>52.3</v>
      </c>
      <c r="C537" s="176" t="s">
        <v>1237</v>
      </c>
      <c r="D537" s="360" t="s">
        <v>1238</v>
      </c>
      <c r="E537" s="666"/>
      <c r="F537" s="423"/>
      <c r="G537" s="762"/>
      <c r="H537" s="666"/>
      <c r="I537" s="155">
        <v>344638</v>
      </c>
      <c r="J537" s="390"/>
      <c r="K537" s="547"/>
      <c r="L537" s="547"/>
      <c r="M537" s="415"/>
      <c r="N537" s="545"/>
      <c r="O537" s="546">
        <v>344638</v>
      </c>
      <c r="P537" s="545"/>
      <c r="Q537" s="545"/>
      <c r="R537" s="545"/>
      <c r="S537" s="548">
        <f t="shared" si="134"/>
        <v>344638</v>
      </c>
      <c r="T537" s="545"/>
      <c r="U537" s="546">
        <f t="shared" si="136"/>
        <v>0</v>
      </c>
      <c r="V537" s="545"/>
      <c r="W537" s="545"/>
      <c r="X537" s="545"/>
      <c r="Y537" s="548"/>
      <c r="Z537" s="467"/>
      <c r="AA537" s="467"/>
      <c r="AB537" s="467"/>
      <c r="AC537" s="467"/>
      <c r="AD537" s="467"/>
      <c r="AE537" s="467"/>
      <c r="AF537" s="585"/>
      <c r="AP537" s="666"/>
    </row>
    <row r="538" spans="2:42" ht="30">
      <c r="B538" s="614">
        <v>52.4</v>
      </c>
      <c r="C538" s="176" t="s">
        <v>1239</v>
      </c>
      <c r="D538" s="360" t="s">
        <v>1240</v>
      </c>
      <c r="E538" s="666"/>
      <c r="F538" s="423"/>
      <c r="G538" s="762"/>
      <c r="H538" s="666"/>
      <c r="I538" s="155">
        <v>16869.449999999997</v>
      </c>
      <c r="J538" s="390"/>
      <c r="K538" s="547"/>
      <c r="L538" s="547"/>
      <c r="M538" s="415"/>
      <c r="N538" s="545"/>
      <c r="O538" s="546">
        <v>16869.45</v>
      </c>
      <c r="P538" s="545"/>
      <c r="Q538" s="545"/>
      <c r="R538" s="545"/>
      <c r="S538" s="548">
        <f t="shared" si="134"/>
        <v>16869.45</v>
      </c>
      <c r="T538" s="545"/>
      <c r="U538" s="546">
        <f t="shared" si="136"/>
        <v>0</v>
      </c>
      <c r="V538" s="545"/>
      <c r="W538" s="545"/>
      <c r="X538" s="545"/>
      <c r="Y538" s="548"/>
      <c r="Z538" s="467"/>
      <c r="AA538" s="467"/>
      <c r="AB538" s="467"/>
      <c r="AC538" s="467"/>
      <c r="AD538" s="467"/>
      <c r="AE538" s="467"/>
      <c r="AF538" s="585"/>
      <c r="AP538" s="666"/>
    </row>
    <row r="539" spans="2:42" ht="45">
      <c r="B539" s="614">
        <v>52.5</v>
      </c>
      <c r="C539" s="176" t="s">
        <v>1241</v>
      </c>
      <c r="D539" s="360" t="s">
        <v>1193</v>
      </c>
      <c r="E539" s="666"/>
      <c r="F539" s="423"/>
      <c r="G539" s="762"/>
      <c r="H539" s="666"/>
      <c r="I539" s="155">
        <v>86354.19</v>
      </c>
      <c r="J539" s="390"/>
      <c r="K539" s="547"/>
      <c r="L539" s="547"/>
      <c r="M539" s="415"/>
      <c r="N539" s="545"/>
      <c r="O539" s="546">
        <v>86354.19</v>
      </c>
      <c r="P539" s="545"/>
      <c r="Q539" s="545"/>
      <c r="R539" s="545"/>
      <c r="S539" s="548">
        <f t="shared" si="134"/>
        <v>86354.19</v>
      </c>
      <c r="T539" s="545"/>
      <c r="U539" s="546">
        <f t="shared" si="136"/>
        <v>0</v>
      </c>
      <c r="V539" s="545"/>
      <c r="W539" s="545"/>
      <c r="X539" s="545"/>
      <c r="Y539" s="548"/>
      <c r="Z539" s="467"/>
      <c r="AA539" s="467"/>
      <c r="AB539" s="467"/>
      <c r="AC539" s="467"/>
      <c r="AD539" s="467"/>
      <c r="AE539" s="467"/>
      <c r="AF539" s="585"/>
      <c r="AP539" s="666"/>
    </row>
    <row r="540" spans="2:42" ht="75">
      <c r="B540" s="614">
        <v>52.6</v>
      </c>
      <c r="C540" s="176" t="s">
        <v>1242</v>
      </c>
      <c r="D540" s="360" t="s">
        <v>1243</v>
      </c>
      <c r="E540" s="666"/>
      <c r="F540" s="423"/>
      <c r="G540" s="762"/>
      <c r="H540" s="666"/>
      <c r="I540" s="155">
        <v>67221.919999999998</v>
      </c>
      <c r="J540" s="390"/>
      <c r="K540" s="547"/>
      <c r="L540" s="547"/>
      <c r="M540" s="415"/>
      <c r="N540" s="545"/>
      <c r="O540" s="546">
        <v>67221.919999999998</v>
      </c>
      <c r="P540" s="545"/>
      <c r="Q540" s="545"/>
      <c r="R540" s="545"/>
      <c r="S540" s="548">
        <f t="shared" si="134"/>
        <v>67221.919999999998</v>
      </c>
      <c r="T540" s="545"/>
      <c r="U540" s="546">
        <f t="shared" si="136"/>
        <v>0</v>
      </c>
      <c r="V540" s="545"/>
      <c r="W540" s="545"/>
      <c r="X540" s="545"/>
      <c r="Y540" s="548"/>
      <c r="Z540" s="467"/>
      <c r="AA540" s="467"/>
      <c r="AB540" s="467"/>
      <c r="AC540" s="467"/>
      <c r="AD540" s="467"/>
      <c r="AE540" s="467"/>
      <c r="AF540" s="585"/>
      <c r="AP540" s="666"/>
    </row>
    <row r="541" spans="2:42" ht="60">
      <c r="B541" s="614">
        <v>52.7</v>
      </c>
      <c r="C541" s="176" t="s">
        <v>1244</v>
      </c>
      <c r="D541" s="360" t="s">
        <v>1195</v>
      </c>
      <c r="E541" s="666"/>
      <c r="F541" s="423"/>
      <c r="G541" s="762"/>
      <c r="H541" s="666"/>
      <c r="I541" s="155">
        <v>142053.43</v>
      </c>
      <c r="J541" s="390"/>
      <c r="K541" s="547"/>
      <c r="L541" s="547"/>
      <c r="M541" s="415"/>
      <c r="N541" s="545"/>
      <c r="O541" s="546">
        <v>142053.43</v>
      </c>
      <c r="P541" s="545"/>
      <c r="Q541" s="545"/>
      <c r="R541" s="545"/>
      <c r="S541" s="548">
        <f t="shared" si="134"/>
        <v>142053.43</v>
      </c>
      <c r="T541" s="545"/>
      <c r="U541" s="546">
        <f t="shared" si="136"/>
        <v>0</v>
      </c>
      <c r="V541" s="545"/>
      <c r="W541" s="545"/>
      <c r="X541" s="545"/>
      <c r="Y541" s="548"/>
      <c r="Z541" s="467"/>
      <c r="AA541" s="467"/>
      <c r="AB541" s="467"/>
      <c r="AC541" s="467"/>
      <c r="AD541" s="467"/>
      <c r="AE541" s="467"/>
      <c r="AF541" s="585"/>
      <c r="AP541" s="666"/>
    </row>
    <row r="542" spans="2:42" ht="45">
      <c r="B542" s="614">
        <v>52.8</v>
      </c>
      <c r="C542" s="176" t="s">
        <v>1245</v>
      </c>
      <c r="D542" s="360" t="s">
        <v>1246</v>
      </c>
      <c r="E542" s="666"/>
      <c r="F542" s="423"/>
      <c r="G542" s="762"/>
      <c r="H542" s="666"/>
      <c r="I542" s="155">
        <v>186778.01</v>
      </c>
      <c r="J542" s="390"/>
      <c r="K542" s="547"/>
      <c r="L542" s="547"/>
      <c r="M542" s="415"/>
      <c r="N542" s="545"/>
      <c r="O542" s="546">
        <v>186778.01</v>
      </c>
      <c r="P542" s="545"/>
      <c r="Q542" s="545"/>
      <c r="R542" s="545"/>
      <c r="S542" s="548">
        <f t="shared" si="134"/>
        <v>186778.01</v>
      </c>
      <c r="T542" s="545"/>
      <c r="U542" s="546">
        <f t="shared" si="136"/>
        <v>0</v>
      </c>
      <c r="V542" s="545"/>
      <c r="W542" s="545"/>
      <c r="X542" s="545"/>
      <c r="Y542" s="548"/>
      <c r="Z542" s="467"/>
      <c r="AA542" s="467"/>
      <c r="AB542" s="467"/>
      <c r="AC542" s="467"/>
      <c r="AD542" s="467"/>
      <c r="AE542" s="467"/>
      <c r="AF542" s="585"/>
      <c r="AP542" s="666"/>
    </row>
    <row r="543" spans="2:42" ht="210">
      <c r="B543" s="614">
        <v>52.9</v>
      </c>
      <c r="C543" s="176" t="s">
        <v>1247</v>
      </c>
      <c r="D543" s="360" t="s">
        <v>1199</v>
      </c>
      <c r="E543" s="666"/>
      <c r="F543" s="423"/>
      <c r="G543" s="762"/>
      <c r="H543" s="666"/>
      <c r="I543" s="155">
        <v>174543.22</v>
      </c>
      <c r="J543" s="390"/>
      <c r="K543" s="547"/>
      <c r="L543" s="547"/>
      <c r="M543" s="415"/>
      <c r="N543" s="545"/>
      <c r="O543" s="546">
        <v>174543.22</v>
      </c>
      <c r="P543" s="545"/>
      <c r="Q543" s="545"/>
      <c r="R543" s="545"/>
      <c r="S543" s="548">
        <f t="shared" si="134"/>
        <v>174543.22</v>
      </c>
      <c r="T543" s="545"/>
      <c r="U543" s="546">
        <f t="shared" si="136"/>
        <v>0</v>
      </c>
      <c r="V543" s="545"/>
      <c r="W543" s="545"/>
      <c r="X543" s="545"/>
      <c r="Y543" s="548"/>
      <c r="Z543" s="467"/>
      <c r="AA543" s="467"/>
      <c r="AB543" s="467"/>
      <c r="AC543" s="467"/>
      <c r="AD543" s="467"/>
      <c r="AE543" s="467"/>
      <c r="AF543" s="585"/>
      <c r="AP543" s="666"/>
    </row>
    <row r="544" spans="2:42" ht="300">
      <c r="B544" s="614" t="s">
        <v>1248</v>
      </c>
      <c r="C544" s="176" t="s">
        <v>1249</v>
      </c>
      <c r="D544" s="360" t="s">
        <v>1200</v>
      </c>
      <c r="E544" s="666"/>
      <c r="F544" s="423"/>
      <c r="G544" s="762"/>
      <c r="H544" s="666"/>
      <c r="I544" s="155">
        <v>178227.53</v>
      </c>
      <c r="J544" s="390"/>
      <c r="K544" s="547"/>
      <c r="L544" s="547"/>
      <c r="M544" s="415"/>
      <c r="N544" s="545"/>
      <c r="O544" s="546">
        <v>178227.53</v>
      </c>
      <c r="P544" s="545"/>
      <c r="Q544" s="545"/>
      <c r="R544" s="545"/>
      <c r="S544" s="548">
        <f t="shared" si="134"/>
        <v>178227.53</v>
      </c>
      <c r="T544" s="545"/>
      <c r="U544" s="546">
        <f t="shared" si="136"/>
        <v>0</v>
      </c>
      <c r="V544" s="545"/>
      <c r="W544" s="545"/>
      <c r="X544" s="545"/>
      <c r="Y544" s="548"/>
      <c r="Z544" s="467"/>
      <c r="AA544" s="467"/>
      <c r="AB544" s="467"/>
      <c r="AC544" s="467"/>
      <c r="AD544" s="467"/>
      <c r="AE544" s="467"/>
      <c r="AF544" s="585"/>
      <c r="AP544" s="666"/>
    </row>
    <row r="545" spans="2:42" ht="180">
      <c r="B545" s="614">
        <v>52.11</v>
      </c>
      <c r="C545" s="176" t="s">
        <v>1250</v>
      </c>
      <c r="D545" s="360" t="s">
        <v>1201</v>
      </c>
      <c r="E545" s="666"/>
      <c r="F545" s="423"/>
      <c r="G545" s="762"/>
      <c r="H545" s="666"/>
      <c r="I545" s="155">
        <v>167433.03</v>
      </c>
      <c r="J545" s="390"/>
      <c r="K545" s="547"/>
      <c r="L545" s="547"/>
      <c r="M545" s="415"/>
      <c r="N545" s="545"/>
      <c r="O545" s="546">
        <v>167433.03</v>
      </c>
      <c r="P545" s="545"/>
      <c r="Q545" s="545"/>
      <c r="R545" s="545"/>
      <c r="S545" s="548">
        <f t="shared" si="134"/>
        <v>167433.03</v>
      </c>
      <c r="T545" s="545"/>
      <c r="U545" s="546">
        <f t="shared" si="136"/>
        <v>0</v>
      </c>
      <c r="V545" s="545"/>
      <c r="W545" s="545"/>
      <c r="X545" s="545"/>
      <c r="Y545" s="548"/>
      <c r="Z545" s="467"/>
      <c r="AA545" s="467"/>
      <c r="AB545" s="467"/>
      <c r="AC545" s="467"/>
      <c r="AD545" s="467"/>
      <c r="AE545" s="467"/>
      <c r="AF545" s="585"/>
      <c r="AP545" s="666"/>
    </row>
    <row r="546" spans="2:42" ht="330">
      <c r="B546" s="614">
        <v>52.12</v>
      </c>
      <c r="C546" s="176" t="s">
        <v>1251</v>
      </c>
      <c r="D546" s="360" t="s">
        <v>1202</v>
      </c>
      <c r="E546" s="666"/>
      <c r="F546" s="423"/>
      <c r="G546" s="762"/>
      <c r="H546" s="666"/>
      <c r="I546" s="155">
        <v>631.83999999999651</v>
      </c>
      <c r="J546" s="390"/>
      <c r="K546" s="547"/>
      <c r="L546" s="547"/>
      <c r="M546" s="415"/>
      <c r="N546" s="545"/>
      <c r="O546" s="546">
        <v>631.84</v>
      </c>
      <c r="P546" s="545"/>
      <c r="Q546" s="545"/>
      <c r="R546" s="545"/>
      <c r="S546" s="548">
        <f>SUM(N546:R546)</f>
        <v>631.84</v>
      </c>
      <c r="T546" s="545"/>
      <c r="U546" s="546">
        <f t="shared" si="136"/>
        <v>-3.5242919693700969E-12</v>
      </c>
      <c r="V546" s="545"/>
      <c r="W546" s="545"/>
      <c r="X546" s="545"/>
      <c r="Y546" s="548"/>
      <c r="Z546" s="467"/>
      <c r="AA546" s="467"/>
      <c r="AB546" s="467"/>
      <c r="AC546" s="467"/>
      <c r="AD546" s="467"/>
      <c r="AE546" s="467"/>
      <c r="AF546" s="585"/>
      <c r="AP546" s="666"/>
    </row>
    <row r="547" spans="2:42" ht="45">
      <c r="B547" s="614">
        <v>52.13</v>
      </c>
      <c r="C547" s="176" t="s">
        <v>1252</v>
      </c>
      <c r="D547" s="360" t="s">
        <v>1203</v>
      </c>
      <c r="E547" s="666"/>
      <c r="F547" s="423"/>
      <c r="G547" s="762"/>
      <c r="H547" s="666"/>
      <c r="I547" s="155">
        <v>104860.62</v>
      </c>
      <c r="J547" s="390"/>
      <c r="K547" s="547"/>
      <c r="L547" s="547"/>
      <c r="M547" s="415"/>
      <c r="N547" s="545"/>
      <c r="O547" s="546">
        <v>104860.62</v>
      </c>
      <c r="P547" s="545"/>
      <c r="Q547" s="545"/>
      <c r="R547" s="545"/>
      <c r="S547" s="548">
        <f>SUM(N547:R547)</f>
        <v>104860.62</v>
      </c>
      <c r="T547" s="545"/>
      <c r="U547" s="546">
        <f t="shared" si="136"/>
        <v>0</v>
      </c>
      <c r="V547" s="545"/>
      <c r="W547" s="545"/>
      <c r="X547" s="545"/>
      <c r="Y547" s="548"/>
      <c r="Z547" s="467"/>
      <c r="AA547" s="467"/>
      <c r="AB547" s="467"/>
      <c r="AC547" s="467"/>
      <c r="AD547" s="467"/>
      <c r="AE547" s="467"/>
      <c r="AF547" s="585"/>
      <c r="AP547" s="666"/>
    </row>
    <row r="548" spans="2:42" ht="30">
      <c r="B548" s="614">
        <v>52.14</v>
      </c>
      <c r="C548" s="176" t="s">
        <v>1253</v>
      </c>
      <c r="D548" s="360" t="s">
        <v>1254</v>
      </c>
      <c r="E548" s="666"/>
      <c r="F548" s="423"/>
      <c r="G548" s="762"/>
      <c r="H548" s="666"/>
      <c r="I548" s="155">
        <v>28771.68</v>
      </c>
      <c r="J548" s="390"/>
      <c r="K548" s="547"/>
      <c r="L548" s="547"/>
      <c r="M548" s="415"/>
      <c r="N548" s="545"/>
      <c r="O548" s="546">
        <v>28771.68</v>
      </c>
      <c r="P548" s="545"/>
      <c r="Q548" s="545"/>
      <c r="R548" s="545"/>
      <c r="S548" s="548">
        <f>SUM(N548:R548)</f>
        <v>28771.68</v>
      </c>
      <c r="T548" s="545"/>
      <c r="U548" s="546">
        <f t="shared" si="136"/>
        <v>0</v>
      </c>
      <c r="V548" s="545"/>
      <c r="W548" s="545"/>
      <c r="X548" s="545"/>
      <c r="Y548" s="548"/>
      <c r="Z548" s="467"/>
      <c r="AA548" s="467"/>
      <c r="AB548" s="467"/>
      <c r="AC548" s="467"/>
      <c r="AD548" s="467"/>
      <c r="AE548" s="467"/>
      <c r="AF548" s="585"/>
      <c r="AP548" s="666"/>
    </row>
    <row r="549" spans="2:42" ht="15.75">
      <c r="B549" s="351" t="s">
        <v>29</v>
      </c>
      <c r="C549" s="352"/>
      <c r="D549" s="403" t="s">
        <v>336</v>
      </c>
      <c r="E549" s="403" t="s">
        <v>29</v>
      </c>
      <c r="F549" s="573" t="s">
        <v>29</v>
      </c>
      <c r="G549" s="775"/>
      <c r="H549" s="550">
        <f>SUM(H483:H528)</f>
        <v>0</v>
      </c>
      <c r="I549" s="550">
        <f>SUM(I483:I548)</f>
        <v>50218486.339999989</v>
      </c>
      <c r="J549" s="550">
        <f t="shared" ref="J549:AE549" si="137">SUM(J483:J532)</f>
        <v>0</v>
      </c>
      <c r="K549" s="550">
        <f t="shared" si="137"/>
        <v>0</v>
      </c>
      <c r="L549" s="550">
        <f t="shared" si="137"/>
        <v>0</v>
      </c>
      <c r="M549" s="550">
        <f t="shared" si="137"/>
        <v>43708560.289999992</v>
      </c>
      <c r="N549" s="550">
        <f t="shared" si="137"/>
        <v>0</v>
      </c>
      <c r="O549" s="550">
        <f>SUM(O483:O548)</f>
        <v>49189233.789999999</v>
      </c>
      <c r="P549" s="550">
        <f t="shared" ref="P549:U549" si="138">SUM(P483:P548)</f>
        <v>0</v>
      </c>
      <c r="Q549" s="550">
        <f t="shared" si="138"/>
        <v>0</v>
      </c>
      <c r="R549" s="550">
        <f t="shared" si="138"/>
        <v>0</v>
      </c>
      <c r="S549" s="550">
        <f t="shared" si="138"/>
        <v>49189233.789999999</v>
      </c>
      <c r="T549" s="550">
        <f t="shared" si="138"/>
        <v>0</v>
      </c>
      <c r="U549" s="550">
        <f t="shared" si="138"/>
        <v>1029252.5500000004</v>
      </c>
      <c r="V549" s="550">
        <f t="shared" si="137"/>
        <v>0</v>
      </c>
      <c r="W549" s="550">
        <f t="shared" si="137"/>
        <v>0</v>
      </c>
      <c r="X549" s="550">
        <f t="shared" si="137"/>
        <v>0</v>
      </c>
      <c r="Y549" s="550">
        <f t="shared" si="137"/>
        <v>997163.51000000036</v>
      </c>
      <c r="Z549" s="550">
        <f t="shared" si="137"/>
        <v>2661163.29</v>
      </c>
      <c r="AA549" s="550">
        <f t="shared" si="137"/>
        <v>24097656.559999999</v>
      </c>
      <c r="AB549" s="550">
        <f t="shared" si="137"/>
        <v>1658683.3</v>
      </c>
      <c r="AC549" s="550">
        <f t="shared" si="137"/>
        <v>3210272.36</v>
      </c>
      <c r="AD549" s="550">
        <f t="shared" si="137"/>
        <v>0</v>
      </c>
      <c r="AE549" s="550">
        <f t="shared" si="137"/>
        <v>31627775.510000005</v>
      </c>
      <c r="AF549" s="814">
        <f>AF485+AF486+AF487+AF489+AF500+AF519+AF532</f>
        <v>994465.87000000011</v>
      </c>
      <c r="AP549" s="666"/>
    </row>
    <row r="550" spans="2:42" ht="30">
      <c r="B550" s="355"/>
      <c r="C550" s="64"/>
      <c r="D550" s="356"/>
      <c r="E550"/>
      <c r="F550" s="563"/>
      <c r="G550" s="344"/>
      <c r="H550"/>
      <c r="I550" s="357"/>
      <c r="J550" s="386"/>
      <c r="K550" s="386"/>
      <c r="L550" s="386"/>
      <c r="M550" s="386"/>
      <c r="N550"/>
      <c r="O550" s="357"/>
      <c r="P550"/>
      <c r="U550" s="357"/>
      <c r="AP550" s="666"/>
    </row>
    <row r="551" spans="2:42" ht="27">
      <c r="B551" s="1024" t="s">
        <v>337</v>
      </c>
      <c r="C551" s="1024"/>
      <c r="D551" s="1024"/>
      <c r="E551" s="696"/>
      <c r="F551" s="696"/>
      <c r="G551" s="776"/>
      <c r="H551" s="696"/>
      <c r="I551" s="696"/>
      <c r="J551" s="696"/>
      <c r="K551" s="696"/>
      <c r="L551" s="696"/>
      <c r="M551" s="696"/>
      <c r="N551" s="696"/>
      <c r="O551" s="696"/>
      <c r="P551" s="696"/>
      <c r="Q551" s="696"/>
      <c r="R551" s="696"/>
      <c r="S551" s="696"/>
      <c r="T551" s="696"/>
      <c r="U551" s="696"/>
      <c r="V551" s="696"/>
      <c r="W551" s="696"/>
      <c r="X551" s="696"/>
      <c r="Y551" s="696"/>
      <c r="Z551" s="696"/>
      <c r="AA551" s="696"/>
      <c r="AB551" s="696"/>
      <c r="AC551" s="696"/>
      <c r="AD551" s="696"/>
      <c r="AE551" s="696"/>
      <c r="AP551" s="666"/>
    </row>
    <row r="552" spans="2:42" ht="15.75">
      <c r="B552" s="214"/>
      <c r="C552" s="214"/>
      <c r="D552" s="346"/>
      <c r="E552" s="346"/>
      <c r="F552" s="574"/>
      <c r="G552" s="737"/>
      <c r="H552" s="346"/>
      <c r="I552" s="215">
        <f>SUM(I553:I563)</f>
        <v>5274345.6899999995</v>
      </c>
      <c r="J552" s="215" t="s">
        <v>29</v>
      </c>
      <c r="K552" s="215" t="s">
        <v>29</v>
      </c>
      <c r="L552" s="215" t="s">
        <v>29</v>
      </c>
      <c r="M552" s="215" t="s">
        <v>29</v>
      </c>
      <c r="N552" s="215" t="s">
        <v>29</v>
      </c>
      <c r="O552" s="215" t="s">
        <v>29</v>
      </c>
      <c r="P552" s="215" t="s">
        <v>29</v>
      </c>
      <c r="Q552" s="215" t="s">
        <v>29</v>
      </c>
      <c r="R552" s="215" t="s">
        <v>29</v>
      </c>
      <c r="S552" s="215" t="s">
        <v>29</v>
      </c>
      <c r="T552" s="215" t="s">
        <v>29</v>
      </c>
      <c r="U552" s="215" t="s">
        <v>29</v>
      </c>
      <c r="V552" s="215" t="s">
        <v>29</v>
      </c>
      <c r="W552" s="215" t="s">
        <v>29</v>
      </c>
      <c r="X552" s="215" t="s">
        <v>29</v>
      </c>
      <c r="Y552" s="215" t="s">
        <v>29</v>
      </c>
      <c r="Z552" s="215" t="s">
        <v>29</v>
      </c>
      <c r="AA552" s="215" t="s">
        <v>29</v>
      </c>
      <c r="AB552" s="215" t="s">
        <v>29</v>
      </c>
      <c r="AC552" s="215" t="s">
        <v>29</v>
      </c>
      <c r="AD552" s="215" t="s">
        <v>29</v>
      </c>
      <c r="AE552" s="215" t="s">
        <v>29</v>
      </c>
      <c r="AP552" s="666"/>
    </row>
    <row r="553" spans="2:42" ht="30">
      <c r="B553" s="193">
        <v>1</v>
      </c>
      <c r="C553" s="216" t="s">
        <v>338</v>
      </c>
      <c r="D553" s="409" t="s">
        <v>339</v>
      </c>
      <c r="E553" s="666"/>
      <c r="F553" s="560"/>
      <c r="G553" s="558"/>
      <c r="H553" s="666"/>
      <c r="I553" s="155">
        <v>155919.85</v>
      </c>
      <c r="J553" s="390"/>
      <c r="K553" s="390"/>
      <c r="L553" s="390"/>
      <c r="M553" s="415">
        <f>SUM(I553:L553)</f>
        <v>155919.85</v>
      </c>
      <c r="N553" s="666"/>
      <c r="O553" s="155">
        <v>155919.85</v>
      </c>
      <c r="P553" s="666"/>
      <c r="Q553" s="666"/>
      <c r="R553" s="666"/>
      <c r="S553" s="152">
        <f>SUM(N553:R553)</f>
        <v>155919.85</v>
      </c>
      <c r="T553" s="666"/>
      <c r="U553" s="384">
        <f t="shared" ref="U553:U563" si="139">+I553-O553</f>
        <v>0</v>
      </c>
      <c r="V553" s="666"/>
      <c r="W553" s="666"/>
      <c r="X553" s="666"/>
      <c r="Y553" s="205">
        <f>SUM(T553:X553)</f>
        <v>0</v>
      </c>
      <c r="Z553" s="666"/>
      <c r="AA553" s="666"/>
      <c r="AB553" s="666"/>
      <c r="AC553" s="666"/>
      <c r="AD553" s="666"/>
      <c r="AE553" s="666"/>
      <c r="AP553" s="666"/>
    </row>
    <row r="554" spans="2:42" ht="60">
      <c r="B554" s="193">
        <v>2</v>
      </c>
      <c r="C554" s="216" t="s">
        <v>340</v>
      </c>
      <c r="D554" s="410" t="s">
        <v>341</v>
      </c>
      <c r="E554" s="666"/>
      <c r="F554" s="560"/>
      <c r="G554" s="558"/>
      <c r="H554" s="666"/>
      <c r="I554" s="155">
        <v>49913.52</v>
      </c>
      <c r="J554" s="390"/>
      <c r="K554" s="390"/>
      <c r="L554" s="390"/>
      <c r="M554" s="415">
        <f t="shared" ref="M554:M562" si="140">SUM(I554:L554)</f>
        <v>49913.52</v>
      </c>
      <c r="N554" s="666"/>
      <c r="O554" s="155">
        <v>49913.52</v>
      </c>
      <c r="P554" s="666"/>
      <c r="Q554" s="666"/>
      <c r="R554" s="666"/>
      <c r="S554" s="152">
        <f t="shared" ref="S554:S563" si="141">SUM(N554:R554)</f>
        <v>49913.52</v>
      </c>
      <c r="T554" s="666"/>
      <c r="U554" s="384">
        <f t="shared" si="139"/>
        <v>0</v>
      </c>
      <c r="V554" s="666"/>
      <c r="W554" s="666"/>
      <c r="X554" s="666"/>
      <c r="Y554" s="205">
        <f t="shared" ref="Y554:Y563" si="142">SUM(T554:X554)</f>
        <v>0</v>
      </c>
      <c r="Z554" s="666"/>
      <c r="AA554" s="666"/>
      <c r="AB554" s="666"/>
      <c r="AC554" s="666"/>
      <c r="AD554" s="666"/>
      <c r="AE554" s="666"/>
      <c r="AP554" s="666"/>
    </row>
    <row r="555" spans="2:42" ht="30">
      <c r="B555" s="492">
        <v>3</v>
      </c>
      <c r="C555" s="216" t="s">
        <v>346</v>
      </c>
      <c r="D555" s="365" t="s">
        <v>347</v>
      </c>
      <c r="E555" s="666"/>
      <c r="F555" s="560"/>
      <c r="G555" s="558"/>
      <c r="H555" s="666"/>
      <c r="I555" s="155">
        <v>67455.839999999997</v>
      </c>
      <c r="J555" s="390"/>
      <c r="K555" s="390"/>
      <c r="L555" s="390"/>
      <c r="M555" s="415">
        <f t="shared" si="140"/>
        <v>67455.839999999997</v>
      </c>
      <c r="N555" s="666"/>
      <c r="O555" s="155">
        <v>67455.839999999997</v>
      </c>
      <c r="P555" s="666"/>
      <c r="Q555" s="666"/>
      <c r="R555" s="666"/>
      <c r="S555" s="152">
        <f t="shared" si="141"/>
        <v>67455.839999999997</v>
      </c>
      <c r="T555" s="666"/>
      <c r="U555" s="384">
        <f t="shared" si="139"/>
        <v>0</v>
      </c>
      <c r="V555" s="666"/>
      <c r="W555" s="666"/>
      <c r="X555" s="666"/>
      <c r="Y555" s="205">
        <f t="shared" si="142"/>
        <v>0</v>
      </c>
      <c r="Z555" s="666"/>
      <c r="AA555" s="666"/>
      <c r="AB555" s="666"/>
      <c r="AC555" s="666"/>
      <c r="AD555" s="666"/>
      <c r="AE555" s="666"/>
      <c r="AP555" s="666"/>
    </row>
    <row r="556" spans="2:42" ht="30">
      <c r="B556" s="193">
        <v>4</v>
      </c>
      <c r="C556" s="216" t="s">
        <v>348</v>
      </c>
      <c r="D556" s="365" t="s">
        <v>823</v>
      </c>
      <c r="E556" s="666"/>
      <c r="F556" s="560"/>
      <c r="G556" s="558"/>
      <c r="H556" s="666"/>
      <c r="I556" s="155">
        <v>10950.56</v>
      </c>
      <c r="J556" s="390"/>
      <c r="K556" s="390"/>
      <c r="L556" s="390"/>
      <c r="M556" s="415">
        <f t="shared" si="140"/>
        <v>10950.56</v>
      </c>
      <c r="N556" s="666"/>
      <c r="O556" s="155">
        <f>10555.2+395.36</f>
        <v>10950.560000000001</v>
      </c>
      <c r="P556" s="666"/>
      <c r="Q556" s="666"/>
      <c r="R556" s="666"/>
      <c r="S556" s="152">
        <f t="shared" si="141"/>
        <v>10950.560000000001</v>
      </c>
      <c r="T556" s="666"/>
      <c r="U556" s="432">
        <f t="shared" si="139"/>
        <v>0</v>
      </c>
      <c r="V556" s="666"/>
      <c r="W556" s="666"/>
      <c r="X556" s="666"/>
      <c r="Y556" s="152">
        <f t="shared" si="142"/>
        <v>0</v>
      </c>
      <c r="Z556" s="666"/>
      <c r="AA556" s="666"/>
      <c r="AB556" s="666"/>
      <c r="AC556" s="666"/>
      <c r="AD556" s="666"/>
      <c r="AE556" s="666"/>
      <c r="AP556" s="666"/>
    </row>
    <row r="557" spans="2:42" ht="45">
      <c r="B557" s="193">
        <v>5</v>
      </c>
      <c r="C557" s="492" t="s">
        <v>349</v>
      </c>
      <c r="D557" s="411" t="s">
        <v>350</v>
      </c>
      <c r="E557" s="666"/>
      <c r="F557" s="560"/>
      <c r="G557" s="558"/>
      <c r="H557" s="666"/>
      <c r="I557" s="155">
        <v>21576.639999999999</v>
      </c>
      <c r="J557" s="390"/>
      <c r="K557" s="390"/>
      <c r="L557" s="390"/>
      <c r="M557" s="415">
        <f t="shared" si="140"/>
        <v>21576.639999999999</v>
      </c>
      <c r="N557" s="666"/>
      <c r="O557" s="155"/>
      <c r="P557" s="666"/>
      <c r="Q557" s="666"/>
      <c r="R557" s="666"/>
      <c r="S557" s="152">
        <f t="shared" si="141"/>
        <v>0</v>
      </c>
      <c r="T557" s="666"/>
      <c r="U557" s="155">
        <f t="shared" si="139"/>
        <v>21576.639999999999</v>
      </c>
      <c r="V557" s="666"/>
      <c r="W557" s="666"/>
      <c r="X557" s="666"/>
      <c r="Y557" s="152">
        <f t="shared" si="142"/>
        <v>21576.639999999999</v>
      </c>
      <c r="Z557" s="666"/>
      <c r="AA557" s="666"/>
      <c r="AB557" s="666"/>
      <c r="AC557" s="666"/>
      <c r="AD557" s="666"/>
      <c r="AE557" s="666"/>
      <c r="AP557" s="666"/>
    </row>
    <row r="558" spans="2:42" ht="30">
      <c r="B558" s="193">
        <v>6</v>
      </c>
      <c r="C558" s="178" t="s">
        <v>370</v>
      </c>
      <c r="D558" s="365" t="s">
        <v>371</v>
      </c>
      <c r="E558" s="666"/>
      <c r="F558" s="560"/>
      <c r="G558" s="558"/>
      <c r="H558" s="666"/>
      <c r="I558" s="170">
        <v>393150.26</v>
      </c>
      <c r="J558" s="390"/>
      <c r="K558" s="390"/>
      <c r="L558" s="390"/>
      <c r="M558" s="415">
        <f t="shared" si="140"/>
        <v>393150.26</v>
      </c>
      <c r="N558" s="666"/>
      <c r="O558" s="170">
        <v>393150.26</v>
      </c>
      <c r="P558" s="666"/>
      <c r="Q558" s="666"/>
      <c r="R558" s="666"/>
      <c r="S558" s="152">
        <f t="shared" si="141"/>
        <v>393150.26</v>
      </c>
      <c r="T558" s="666"/>
      <c r="U558" s="155">
        <f t="shared" si="139"/>
        <v>0</v>
      </c>
      <c r="V558" s="666"/>
      <c r="W558" s="666"/>
      <c r="X558" s="666"/>
      <c r="Y558" s="152">
        <f t="shared" si="142"/>
        <v>0</v>
      </c>
      <c r="Z558" s="666"/>
      <c r="AA558" s="666"/>
      <c r="AB558" s="666"/>
      <c r="AC558" s="666"/>
      <c r="AD558" s="666"/>
      <c r="AE558" s="666"/>
      <c r="AP558" s="666"/>
    </row>
    <row r="559" spans="2:42" ht="30">
      <c r="B559" s="193">
        <v>7</v>
      </c>
      <c r="C559" s="178" t="s">
        <v>370</v>
      </c>
      <c r="D559" s="365" t="s">
        <v>372</v>
      </c>
      <c r="E559" s="666"/>
      <c r="F559" s="560"/>
      <c r="G559" s="558"/>
      <c r="H559" s="666"/>
      <c r="I559" s="170">
        <v>894621.3</v>
      </c>
      <c r="J559" s="390"/>
      <c r="K559" s="390"/>
      <c r="L559" s="390"/>
      <c r="M559" s="415">
        <f t="shared" si="140"/>
        <v>894621.3</v>
      </c>
      <c r="N559" s="666"/>
      <c r="O559" s="170">
        <v>894621.3</v>
      </c>
      <c r="P559" s="666"/>
      <c r="Q559" s="666"/>
      <c r="R559" s="666"/>
      <c r="S559" s="152">
        <f t="shared" si="141"/>
        <v>894621.3</v>
      </c>
      <c r="T559" s="666"/>
      <c r="U559" s="155">
        <f t="shared" si="139"/>
        <v>0</v>
      </c>
      <c r="V559" s="666"/>
      <c r="W559" s="666"/>
      <c r="X559" s="666"/>
      <c r="Y559" s="152">
        <f t="shared" si="142"/>
        <v>0</v>
      </c>
      <c r="Z559" s="666"/>
      <c r="AA559" s="666"/>
      <c r="AB559" s="666"/>
      <c r="AC559" s="666"/>
      <c r="AD559" s="666"/>
      <c r="AE559" s="666"/>
      <c r="AP559" s="666"/>
    </row>
    <row r="560" spans="2:42" ht="30">
      <c r="B560" s="193">
        <v>8</v>
      </c>
      <c r="C560" s="178" t="s">
        <v>370</v>
      </c>
      <c r="D560" s="365" t="s">
        <v>373</v>
      </c>
      <c r="E560" s="666"/>
      <c r="F560" s="560"/>
      <c r="G560" s="558"/>
      <c r="H560" s="666"/>
      <c r="I560" s="170">
        <v>1148000</v>
      </c>
      <c r="J560" s="390"/>
      <c r="K560" s="390"/>
      <c r="L560" s="390"/>
      <c r="M560" s="415">
        <f t="shared" si="140"/>
        <v>1148000</v>
      </c>
      <c r="N560" s="666"/>
      <c r="O560" s="170">
        <v>1148000</v>
      </c>
      <c r="P560" s="666"/>
      <c r="Q560" s="666"/>
      <c r="R560" s="666"/>
      <c r="S560" s="152">
        <f t="shared" si="141"/>
        <v>1148000</v>
      </c>
      <c r="T560" s="666"/>
      <c r="U560" s="155">
        <f t="shared" si="139"/>
        <v>0</v>
      </c>
      <c r="V560" s="666"/>
      <c r="W560" s="666"/>
      <c r="X560" s="666"/>
      <c r="Y560" s="152">
        <f t="shared" si="142"/>
        <v>0</v>
      </c>
      <c r="Z560" s="666"/>
      <c r="AA560" s="666"/>
      <c r="AB560" s="666"/>
      <c r="AC560" s="666"/>
      <c r="AD560" s="666"/>
      <c r="AE560" s="666"/>
      <c r="AP560" s="666"/>
    </row>
    <row r="561" spans="2:42" ht="30">
      <c r="B561" s="193">
        <v>9</v>
      </c>
      <c r="C561" s="178" t="s">
        <v>370</v>
      </c>
      <c r="D561" s="365" t="s">
        <v>374</v>
      </c>
      <c r="E561" s="666"/>
      <c r="F561" s="560"/>
      <c r="G561" s="558"/>
      <c r="H561" s="666"/>
      <c r="I561" s="170">
        <f>305072.37+694927.63</f>
        <v>1000000</v>
      </c>
      <c r="J561" s="390"/>
      <c r="K561" s="390"/>
      <c r="L561" s="390"/>
      <c r="M561" s="415">
        <f t="shared" si="140"/>
        <v>1000000</v>
      </c>
      <c r="N561" s="666"/>
      <c r="O561" s="170">
        <f>305072.37+694927.63</f>
        <v>1000000</v>
      </c>
      <c r="P561" s="666"/>
      <c r="Q561" s="666"/>
      <c r="R561" s="666"/>
      <c r="S561" s="152">
        <f t="shared" si="141"/>
        <v>1000000</v>
      </c>
      <c r="T561" s="666"/>
      <c r="U561" s="155">
        <f t="shared" si="139"/>
        <v>0</v>
      </c>
      <c r="V561" s="666"/>
      <c r="W561" s="666"/>
      <c r="X561" s="666"/>
      <c r="Y561" s="152">
        <f t="shared" si="142"/>
        <v>0</v>
      </c>
      <c r="Z561" s="666"/>
      <c r="AA561" s="666"/>
      <c r="AB561" s="666"/>
      <c r="AC561" s="666"/>
      <c r="AD561" s="666"/>
      <c r="AE561" s="666"/>
      <c r="AP561" s="666"/>
    </row>
    <row r="562" spans="2:42" ht="30">
      <c r="B562" s="348" t="s">
        <v>776</v>
      </c>
      <c r="C562" s="216" t="s">
        <v>396</v>
      </c>
      <c r="D562" s="365" t="s">
        <v>397</v>
      </c>
      <c r="E562" s="666"/>
      <c r="F562" s="560"/>
      <c r="G562" s="558"/>
      <c r="H562" s="666"/>
      <c r="I562" s="170">
        <v>1478930.4</v>
      </c>
      <c r="J562" s="390"/>
      <c r="K562" s="390"/>
      <c r="L562" s="390"/>
      <c r="M562" s="415">
        <f t="shared" si="140"/>
        <v>1478930.4</v>
      </c>
      <c r="N562" s="666"/>
      <c r="O562" s="170">
        <f>1330889.51+148040.89</f>
        <v>1478930.4</v>
      </c>
      <c r="P562" s="666"/>
      <c r="Q562" s="666"/>
      <c r="R562" s="666"/>
      <c r="S562" s="152">
        <f t="shared" si="141"/>
        <v>1478930.4</v>
      </c>
      <c r="T562" s="666"/>
      <c r="U562" s="384">
        <f t="shared" si="139"/>
        <v>0</v>
      </c>
      <c r="V562" s="666"/>
      <c r="W562" s="666"/>
      <c r="X562" s="666"/>
      <c r="Y562" s="205">
        <f t="shared" si="142"/>
        <v>0</v>
      </c>
      <c r="Z562" s="666"/>
      <c r="AA562" s="666"/>
      <c r="AB562" s="666"/>
      <c r="AC562" s="666"/>
      <c r="AD562" s="666"/>
      <c r="AE562" s="666"/>
      <c r="AP562" s="666"/>
    </row>
    <row r="563" spans="2:42" ht="30">
      <c r="B563" s="193">
        <v>11</v>
      </c>
      <c r="C563" s="216" t="s">
        <v>426</v>
      </c>
      <c r="D563" s="365" t="s">
        <v>427</v>
      </c>
      <c r="E563" s="666"/>
      <c r="F563" s="560"/>
      <c r="G563" s="558"/>
      <c r="H563" s="666"/>
      <c r="I563" s="170">
        <v>53827.319999999832</v>
      </c>
      <c r="J563" s="390"/>
      <c r="K563" s="390"/>
      <c r="L563" s="390"/>
      <c r="M563" s="415">
        <f>SUM(I563:L563)</f>
        <v>53827.319999999832</v>
      </c>
      <c r="N563" s="666"/>
      <c r="O563" s="170">
        <f>2081.33+4766.92+21565.25+9856.1+10070.95+5486.77</f>
        <v>53827.320000000007</v>
      </c>
      <c r="P563" s="666"/>
      <c r="Q563" s="666"/>
      <c r="R563" s="666"/>
      <c r="S563" s="152">
        <f t="shared" si="141"/>
        <v>53827.320000000007</v>
      </c>
      <c r="T563" s="666"/>
      <c r="U563" s="384">
        <f t="shared" si="139"/>
        <v>-1.7462298274040222E-10</v>
      </c>
      <c r="V563" s="666"/>
      <c r="W563" s="666"/>
      <c r="X563" s="666"/>
      <c r="Y563" s="152">
        <f t="shared" si="142"/>
        <v>-1.7462298274040222E-10</v>
      </c>
      <c r="Z563" s="538">
        <v>0</v>
      </c>
      <c r="AA563" s="170">
        <v>53827.319999999832</v>
      </c>
      <c r="AB563" s="538">
        <v>0</v>
      </c>
      <c r="AC563" s="538">
        <v>0</v>
      </c>
      <c r="AD563" s="538">
        <v>0</v>
      </c>
      <c r="AE563" s="170">
        <v>53827.319999999832</v>
      </c>
      <c r="AP563" s="666"/>
    </row>
    <row r="564" spans="2:42" ht="15.75">
      <c r="B564" s="351" t="s">
        <v>29</v>
      </c>
      <c r="C564" s="352"/>
      <c r="D564" s="353" t="s">
        <v>359</v>
      </c>
      <c r="E564" s="353" t="s">
        <v>29</v>
      </c>
      <c r="F564" s="565" t="s">
        <v>29</v>
      </c>
      <c r="G564" s="764"/>
      <c r="H564" s="354">
        <f>SUM(H553:H563)</f>
        <v>0</v>
      </c>
      <c r="I564" s="354">
        <f>SUM(I553:I563)</f>
        <v>5274345.6899999995</v>
      </c>
      <c r="J564" s="354">
        <f t="shared" ref="J564:AE564" si="143">SUM(J553:J563)</f>
        <v>0</v>
      </c>
      <c r="K564" s="354">
        <f t="shared" si="143"/>
        <v>0</v>
      </c>
      <c r="L564" s="354">
        <f t="shared" si="143"/>
        <v>0</v>
      </c>
      <c r="M564" s="354">
        <f t="shared" si="143"/>
        <v>5274345.6899999995</v>
      </c>
      <c r="N564" s="354">
        <f t="shared" si="143"/>
        <v>0</v>
      </c>
      <c r="O564" s="354">
        <f t="shared" si="143"/>
        <v>5252769.0500000007</v>
      </c>
      <c r="P564" s="354">
        <f t="shared" si="143"/>
        <v>0</v>
      </c>
      <c r="Q564" s="354">
        <f t="shared" si="143"/>
        <v>0</v>
      </c>
      <c r="R564" s="354">
        <f t="shared" si="143"/>
        <v>0</v>
      </c>
      <c r="S564" s="354">
        <f t="shared" si="143"/>
        <v>5252769.0500000007</v>
      </c>
      <c r="T564" s="354">
        <f t="shared" si="143"/>
        <v>0</v>
      </c>
      <c r="U564" s="354">
        <f t="shared" si="143"/>
        <v>21576.639999999825</v>
      </c>
      <c r="V564" s="354">
        <f t="shared" si="143"/>
        <v>0</v>
      </c>
      <c r="W564" s="354">
        <f t="shared" si="143"/>
        <v>0</v>
      </c>
      <c r="X564" s="354">
        <f t="shared" si="143"/>
        <v>0</v>
      </c>
      <c r="Y564" s="354">
        <f t="shared" si="143"/>
        <v>21576.639999999825</v>
      </c>
      <c r="Z564" s="354">
        <f t="shared" si="143"/>
        <v>0</v>
      </c>
      <c r="AA564" s="354">
        <f t="shared" si="143"/>
        <v>53827.319999999832</v>
      </c>
      <c r="AB564" s="354">
        <f t="shared" si="143"/>
        <v>0</v>
      </c>
      <c r="AC564" s="354">
        <f t="shared" si="143"/>
        <v>0</v>
      </c>
      <c r="AD564" s="354">
        <f t="shared" si="143"/>
        <v>0</v>
      </c>
      <c r="AE564" s="354">
        <f t="shared" si="143"/>
        <v>53827.319999999832</v>
      </c>
      <c r="AP564" s="666"/>
    </row>
    <row r="565" spans="2:42" ht="30">
      <c r="B565" s="355"/>
      <c r="C565" s="64"/>
      <c r="D565" s="356"/>
      <c r="E565"/>
      <c r="F565" s="563"/>
      <c r="G565" s="344"/>
      <c r="H565"/>
      <c r="I565" s="357"/>
      <c r="J565" s="386"/>
      <c r="K565" s="386"/>
      <c r="L565" s="386"/>
      <c r="M565" s="386"/>
      <c r="N565"/>
      <c r="O565" s="357"/>
      <c r="P565"/>
      <c r="U565" s="357"/>
      <c r="AP565" s="666"/>
    </row>
    <row r="566" spans="2:42" ht="27">
      <c r="B566" s="1023" t="s">
        <v>360</v>
      </c>
      <c r="C566" s="1023"/>
      <c r="D566" s="1023"/>
      <c r="E566" s="1023" t="s">
        <v>29</v>
      </c>
      <c r="F566" s="1023"/>
      <c r="G566" s="1023"/>
      <c r="H566" s="1023"/>
      <c r="I566" s="1028" t="s">
        <v>29</v>
      </c>
      <c r="J566" s="1028"/>
      <c r="K566" s="1028"/>
      <c r="L566" s="1028" t="s">
        <v>29</v>
      </c>
      <c r="M566" s="1028"/>
      <c r="N566" s="1028"/>
      <c r="O566" s="380"/>
      <c r="P566" s="380"/>
      <c r="Q566" s="380"/>
      <c r="R566" s="380"/>
      <c r="S566" s="380"/>
      <c r="T566" s="380"/>
      <c r="U566" s="380"/>
      <c r="V566" s="380"/>
      <c r="W566" s="380"/>
      <c r="X566" s="380"/>
      <c r="Y566" s="380"/>
      <c r="Z566" s="380"/>
      <c r="AA566" s="380"/>
      <c r="AB566" s="380"/>
      <c r="AC566" s="380"/>
      <c r="AD566" s="380"/>
      <c r="AE566" s="380"/>
      <c r="AP566" s="666"/>
    </row>
    <row r="567" spans="2:42" ht="30">
      <c r="B567" s="214"/>
      <c r="C567" s="214"/>
      <c r="D567" s="406"/>
      <c r="E567" s="406"/>
      <c r="F567" s="575"/>
      <c r="G567" s="747"/>
      <c r="H567" s="406"/>
      <c r="I567" s="215">
        <f>SUM(I568:I568)</f>
        <v>176599.74</v>
      </c>
      <c r="J567" s="390"/>
      <c r="K567" s="390"/>
      <c r="L567" s="390"/>
      <c r="M567" s="390"/>
      <c r="N567" s="666"/>
      <c r="O567" s="215"/>
      <c r="P567" s="666"/>
      <c r="Q567" s="666"/>
      <c r="R567" s="666"/>
      <c r="S567" s="666"/>
      <c r="T567" s="666"/>
      <c r="U567" s="215"/>
      <c r="V567" s="666"/>
      <c r="W567" s="666"/>
      <c r="X567" s="666"/>
      <c r="Y567" s="666"/>
      <c r="Z567" s="666"/>
      <c r="AA567" s="666"/>
      <c r="AB567" s="666"/>
      <c r="AC567" s="666"/>
      <c r="AD567" s="666"/>
      <c r="AE567" s="666"/>
      <c r="AP567" s="666"/>
    </row>
    <row r="568" spans="2:42" ht="30">
      <c r="B568" s="193">
        <v>1</v>
      </c>
      <c r="C568" s="405" t="s">
        <v>370</v>
      </c>
      <c r="D568" s="365" t="s">
        <v>371</v>
      </c>
      <c r="E568" s="666"/>
      <c r="F568" s="560"/>
      <c r="G568" s="558"/>
      <c r="H568" s="666"/>
      <c r="I568" s="155">
        <v>176599.74</v>
      </c>
      <c r="J568" s="390"/>
      <c r="K568" s="390"/>
      <c r="L568" s="390"/>
      <c r="M568" s="415">
        <f>SUM(H568:L568)</f>
        <v>176599.74</v>
      </c>
      <c r="N568" s="666"/>
      <c r="O568" s="155">
        <v>176599.74</v>
      </c>
      <c r="P568" s="666"/>
      <c r="Q568" s="666"/>
      <c r="R568" s="666"/>
      <c r="S568" s="152">
        <f>SUM(N568:R568)</f>
        <v>176599.74</v>
      </c>
      <c r="T568" s="666"/>
      <c r="U568" s="155">
        <f>+I568-O568</f>
        <v>0</v>
      </c>
      <c r="V568" s="666"/>
      <c r="W568" s="666"/>
      <c r="X568" s="666"/>
      <c r="Y568" s="152">
        <f>SUM(T568:X568)</f>
        <v>0</v>
      </c>
      <c r="Z568" s="666"/>
      <c r="AA568" s="666"/>
      <c r="AB568" s="666"/>
      <c r="AC568" s="666"/>
      <c r="AD568" s="666"/>
      <c r="AE568" s="666"/>
      <c r="AP568" s="666"/>
    </row>
    <row r="569" spans="2:42" ht="15.75">
      <c r="B569" s="351" t="s">
        <v>29</v>
      </c>
      <c r="C569" s="407"/>
      <c r="D569" s="408" t="s">
        <v>361</v>
      </c>
      <c r="E569" s="408" t="s">
        <v>843</v>
      </c>
      <c r="F569" s="576" t="s">
        <v>29</v>
      </c>
      <c r="G569" s="777"/>
      <c r="H569" s="404">
        <f>SUM(H568:H568)</f>
        <v>0</v>
      </c>
      <c r="I569" s="404">
        <f>SUM(I568:I568)</f>
        <v>176599.74</v>
      </c>
      <c r="J569" s="404">
        <f t="shared" ref="J569:L569" si="144">SUM(J568:J568)</f>
        <v>0</v>
      </c>
      <c r="K569" s="404">
        <f t="shared" si="144"/>
        <v>0</v>
      </c>
      <c r="L569" s="404">
        <f t="shared" si="144"/>
        <v>0</v>
      </c>
      <c r="M569" s="404">
        <f>SUM(M568:M568)</f>
        <v>176599.74</v>
      </c>
      <c r="N569" s="404">
        <f t="shared" ref="N569:AE569" si="145">SUM(N568:N568)</f>
        <v>0</v>
      </c>
      <c r="O569" s="404">
        <f t="shared" si="145"/>
        <v>176599.74</v>
      </c>
      <c r="P569" s="404">
        <f t="shared" si="145"/>
        <v>0</v>
      </c>
      <c r="Q569" s="404">
        <f t="shared" si="145"/>
        <v>0</v>
      </c>
      <c r="R569" s="404">
        <f t="shared" si="145"/>
        <v>0</v>
      </c>
      <c r="S569" s="404">
        <f t="shared" si="145"/>
        <v>176599.74</v>
      </c>
      <c r="T569" s="404">
        <f t="shared" si="145"/>
        <v>0</v>
      </c>
      <c r="U569" s="404">
        <f t="shared" si="145"/>
        <v>0</v>
      </c>
      <c r="V569" s="404">
        <f t="shared" si="145"/>
        <v>0</v>
      </c>
      <c r="W569" s="404">
        <f t="shared" si="145"/>
        <v>0</v>
      </c>
      <c r="X569" s="404">
        <f t="shared" si="145"/>
        <v>0</v>
      </c>
      <c r="Y569" s="404">
        <f t="shared" si="145"/>
        <v>0</v>
      </c>
      <c r="Z569" s="404">
        <f t="shared" si="145"/>
        <v>0</v>
      </c>
      <c r="AA569" s="404">
        <f t="shared" si="145"/>
        <v>0</v>
      </c>
      <c r="AB569" s="404">
        <f t="shared" si="145"/>
        <v>0</v>
      </c>
      <c r="AC569" s="404">
        <f t="shared" si="145"/>
        <v>0</v>
      </c>
      <c r="AD569" s="404">
        <f t="shared" si="145"/>
        <v>0</v>
      </c>
      <c r="AE569" s="404">
        <f t="shared" si="145"/>
        <v>0</v>
      </c>
      <c r="AP569" s="666"/>
    </row>
    <row r="570" spans="2:42" ht="30">
      <c r="B570" s="200"/>
      <c r="C570" s="343"/>
      <c r="D570" s="358" t="s">
        <v>829</v>
      </c>
      <c r="E570"/>
      <c r="F570" s="563"/>
      <c r="G570" s="344"/>
      <c r="H570"/>
      <c r="I570" s="359">
        <f>I567+I552+I482</f>
        <v>55669431.769999988</v>
      </c>
      <c r="J570" s="386"/>
      <c r="K570" s="386"/>
      <c r="L570" s="386"/>
      <c r="M570" s="386"/>
      <c r="N570"/>
      <c r="O570" s="359"/>
      <c r="P570" s="359"/>
    </row>
    <row r="571" spans="2:42" ht="30">
      <c r="B571" s="200"/>
      <c r="C571" s="343"/>
      <c r="D571" s="200"/>
      <c r="E571" s="200"/>
      <c r="F571" s="343"/>
      <c r="G571" s="778"/>
      <c r="H571" s="200"/>
      <c r="I571" s="386"/>
      <c r="J571" s="386"/>
      <c r="K571" s="386"/>
      <c r="L571" s="386"/>
      <c r="M571" s="386"/>
      <c r="N571"/>
      <c r="O571"/>
      <c r="P571"/>
    </row>
    <row r="572" spans="2:42" ht="27">
      <c r="B572" s="1023" t="s">
        <v>362</v>
      </c>
      <c r="C572" s="1023"/>
      <c r="D572" s="1023"/>
      <c r="E572" s="694"/>
      <c r="F572" s="225"/>
      <c r="G572" s="770"/>
      <c r="H572" s="225"/>
      <c r="I572" s="225"/>
      <c r="J572" s="225"/>
      <c r="K572" s="225"/>
      <c r="L572" s="225"/>
      <c r="M572" s="225"/>
      <c r="N572" s="225"/>
      <c r="O572" s="225"/>
      <c r="P572" s="225"/>
      <c r="Q572" s="225"/>
      <c r="R572" s="225"/>
      <c r="S572" s="225"/>
      <c r="T572" s="225"/>
      <c r="U572" s="225"/>
      <c r="V572" s="225"/>
      <c r="W572" s="225"/>
      <c r="X572" s="225"/>
      <c r="Y572" s="225"/>
      <c r="Z572" s="225"/>
      <c r="AA572" s="225"/>
      <c r="AB572" s="225"/>
      <c r="AC572" s="225"/>
      <c r="AD572" s="225"/>
      <c r="AE572" s="225"/>
    </row>
    <row r="573" spans="2:42" ht="15.75">
      <c r="B573" s="214" t="s">
        <v>29</v>
      </c>
      <c r="C573" s="214"/>
      <c r="D573" s="346"/>
      <c r="E573" s="346"/>
      <c r="F573" s="574"/>
      <c r="G573" s="737"/>
      <c r="H573" s="346"/>
      <c r="I573" s="346"/>
      <c r="J573" s="215">
        <f>SUM(J574:J681)</f>
        <v>68974510.680000007</v>
      </c>
      <c r="K573" s="215" t="s">
        <v>29</v>
      </c>
      <c r="L573" s="215" t="s">
        <v>29</v>
      </c>
      <c r="M573" s="215" t="s">
        <v>29</v>
      </c>
      <c r="N573" s="215" t="s">
        <v>29</v>
      </c>
      <c r="O573" s="215" t="s">
        <v>29</v>
      </c>
      <c r="P573" s="215" t="s">
        <v>29</v>
      </c>
      <c r="Q573" s="215" t="s">
        <v>29</v>
      </c>
      <c r="R573" s="215" t="s">
        <v>29</v>
      </c>
      <c r="S573" s="215" t="s">
        <v>29</v>
      </c>
      <c r="T573" s="215" t="s">
        <v>29</v>
      </c>
      <c r="U573" s="215" t="s">
        <v>29</v>
      </c>
      <c r="V573" s="215" t="s">
        <v>29</v>
      </c>
      <c r="W573" s="215" t="s">
        <v>29</v>
      </c>
      <c r="X573" s="215" t="s">
        <v>29</v>
      </c>
      <c r="Y573" s="215" t="s">
        <v>29</v>
      </c>
      <c r="Z573" s="215" t="s">
        <v>29</v>
      </c>
      <c r="AA573" s="215" t="s">
        <v>29</v>
      </c>
      <c r="AB573" s="215" t="s">
        <v>29</v>
      </c>
      <c r="AC573" s="215" t="s">
        <v>29</v>
      </c>
      <c r="AD573" s="215" t="s">
        <v>29</v>
      </c>
      <c r="AE573" s="215" t="s">
        <v>29</v>
      </c>
    </row>
    <row r="574" spans="2:42" ht="30">
      <c r="B574" s="193">
        <v>1</v>
      </c>
      <c r="C574" s="178" t="s">
        <v>851</v>
      </c>
      <c r="D574" s="360" t="s">
        <v>363</v>
      </c>
      <c r="E574" s="666"/>
      <c r="F574" s="423" t="s">
        <v>849</v>
      </c>
      <c r="G574" s="762"/>
      <c r="H574" s="666"/>
      <c r="I574" s="390"/>
      <c r="J574" s="198">
        <v>3500000</v>
      </c>
      <c r="K574" s="666"/>
      <c r="L574" s="666"/>
      <c r="M574" s="415">
        <f>SUM(H574:L574)</f>
        <v>3500000</v>
      </c>
      <c r="N574" s="666"/>
      <c r="O574" s="666"/>
      <c r="P574" s="198">
        <f>236347.42+78089.47+285741.66</f>
        <v>600178.55000000005</v>
      </c>
      <c r="Q574" s="666"/>
      <c r="R574" s="666"/>
      <c r="S574" s="152">
        <f>SUM(N574:R574)</f>
        <v>600178.55000000005</v>
      </c>
      <c r="T574" s="666"/>
      <c r="U574" s="666"/>
      <c r="V574" s="198">
        <f t="shared" ref="V574:V629" si="146">+J574-P574</f>
        <v>2899821.45</v>
      </c>
      <c r="W574" s="666"/>
      <c r="X574" s="666"/>
      <c r="Y574" s="152">
        <f>SUM(T574:X574)</f>
        <v>2899821.45</v>
      </c>
      <c r="Z574" s="420">
        <v>0</v>
      </c>
      <c r="AA574" s="420">
        <v>0</v>
      </c>
      <c r="AB574" s="537">
        <v>3993878.45</v>
      </c>
      <c r="AC574" s="420">
        <v>0</v>
      </c>
      <c r="AD574" s="420">
        <v>0</v>
      </c>
      <c r="AE574" s="537">
        <f>SUM(Z574:AD574)</f>
        <v>3993878.45</v>
      </c>
      <c r="AF574" s="425">
        <f>J574-AB574</f>
        <v>-493878.45000000019</v>
      </c>
      <c r="AG574" s="426" t="s">
        <v>850</v>
      </c>
    </row>
    <row r="575" spans="2:42" ht="30">
      <c r="B575" s="193">
        <v>2</v>
      </c>
      <c r="C575" s="178"/>
      <c r="D575" s="360" t="s">
        <v>830</v>
      </c>
      <c r="E575" s="666"/>
      <c r="F575" s="560"/>
      <c r="G575" s="558"/>
      <c r="H575" s="666"/>
      <c r="I575" s="390"/>
      <c r="J575" s="198">
        <v>3500000</v>
      </c>
      <c r="K575" s="666"/>
      <c r="L575" s="666"/>
      <c r="M575" s="415">
        <f t="shared" ref="M575:M634" si="147">SUM(H575:L575)</f>
        <v>3500000</v>
      </c>
      <c r="N575" s="666"/>
      <c r="O575" s="666"/>
      <c r="P575" s="198"/>
      <c r="Q575" s="666"/>
      <c r="R575" s="666"/>
      <c r="S575" s="152">
        <f t="shared" ref="S575:S629" si="148">SUM(N575:R575)</f>
        <v>0</v>
      </c>
      <c r="T575" s="666"/>
      <c r="U575" s="666"/>
      <c r="V575" s="198">
        <f t="shared" si="146"/>
        <v>3500000</v>
      </c>
      <c r="W575" s="666"/>
      <c r="X575" s="666"/>
      <c r="Y575" s="152">
        <f t="shared" ref="Y575:Y630" si="149">SUM(T575:X575)</f>
        <v>3500000</v>
      </c>
      <c r="Z575" s="420"/>
      <c r="AA575" s="420"/>
      <c r="AB575" s="420"/>
      <c r="AC575" s="420"/>
      <c r="AD575" s="420"/>
      <c r="AE575" s="420"/>
    </row>
    <row r="576" spans="2:42" ht="60">
      <c r="B576" s="193">
        <v>3</v>
      </c>
      <c r="C576" s="216" t="s">
        <v>364</v>
      </c>
      <c r="D576" s="360" t="s">
        <v>365</v>
      </c>
      <c r="E576" s="666"/>
      <c r="F576" s="586" t="s">
        <v>1379</v>
      </c>
      <c r="G576" s="779"/>
      <c r="H576" s="666"/>
      <c r="I576" s="390"/>
      <c r="J576" s="174">
        <v>1463488.72</v>
      </c>
      <c r="K576" s="666"/>
      <c r="L576" s="666"/>
      <c r="M576" s="415">
        <f t="shared" si="147"/>
        <v>1463488.72</v>
      </c>
      <c r="N576" s="666"/>
      <c r="O576" s="666"/>
      <c r="P576" s="174">
        <v>1001098.01</v>
      </c>
      <c r="Q576" s="666"/>
      <c r="R576" s="666"/>
      <c r="S576" s="152">
        <f t="shared" si="148"/>
        <v>1001098.01</v>
      </c>
      <c r="T576" s="666"/>
      <c r="U576" s="666"/>
      <c r="V576" s="198">
        <f t="shared" si="146"/>
        <v>462390.70999999996</v>
      </c>
      <c r="W576" s="666"/>
      <c r="X576" s="666"/>
      <c r="Y576" s="152">
        <f t="shared" si="149"/>
        <v>462390.70999999996</v>
      </c>
      <c r="Z576" s="420">
        <v>0</v>
      </c>
      <c r="AA576" s="420">
        <v>0</v>
      </c>
      <c r="AB576" s="420">
        <f>1113488.72+192577</f>
        <v>1306065.72</v>
      </c>
      <c r="AC576" s="420">
        <v>0</v>
      </c>
      <c r="AD576" s="420">
        <v>0</v>
      </c>
      <c r="AE576" s="420">
        <f>SUM(AA576+AB576+AC576)</f>
        <v>1306065.72</v>
      </c>
      <c r="AF576" s="424">
        <f>J576-AB576</f>
        <v>157423</v>
      </c>
      <c r="AG576" s="652" t="s">
        <v>1389</v>
      </c>
    </row>
    <row r="577" spans="2:37" ht="30">
      <c r="B577" s="193">
        <v>4</v>
      </c>
      <c r="C577" s="216" t="s">
        <v>366</v>
      </c>
      <c r="D577" s="360" t="s">
        <v>367</v>
      </c>
      <c r="E577" s="666"/>
      <c r="F577" s="423" t="s">
        <v>847</v>
      </c>
      <c r="G577" s="762"/>
      <c r="H577" s="666"/>
      <c r="I577" s="390"/>
      <c r="J577" s="198">
        <f>1400000+15417.96</f>
        <v>1415417.96</v>
      </c>
      <c r="K577" s="666"/>
      <c r="L577" s="666"/>
      <c r="M577" s="415">
        <f t="shared" si="147"/>
        <v>1415417.96</v>
      </c>
      <c r="N577" s="666"/>
      <c r="O577" s="666"/>
      <c r="P577" s="198">
        <f>152490.85+160753.62+96021.08+265781.24+330455.46+159468.13+0+162645.24</f>
        <v>1327615.6199999999</v>
      </c>
      <c r="Q577" s="666"/>
      <c r="R577" s="666"/>
      <c r="S577" s="152">
        <f t="shared" si="148"/>
        <v>1327615.6199999999</v>
      </c>
      <c r="T577" s="666"/>
      <c r="U577" s="666"/>
      <c r="V577" s="485">
        <f t="shared" si="146"/>
        <v>87802.340000000084</v>
      </c>
      <c r="W577" s="666"/>
      <c r="X577" s="666"/>
      <c r="Y577" s="152">
        <f t="shared" si="149"/>
        <v>87802.340000000084</v>
      </c>
      <c r="Z577" s="420"/>
      <c r="AA577" s="420"/>
      <c r="AB577" s="420">
        <f>1118549.3+258777.3</f>
        <v>1377326.6</v>
      </c>
      <c r="AC577" s="420"/>
      <c r="AD577" s="420"/>
      <c r="AE577" s="420">
        <f>SUM(Z577:AD577)</f>
        <v>1377326.6</v>
      </c>
      <c r="AF577" s="424">
        <f>J577-AB577</f>
        <v>38091.35999999987</v>
      </c>
      <c r="AK577" s="852">
        <v>87802.340000000084</v>
      </c>
    </row>
    <row r="578" spans="2:37" ht="30">
      <c r="B578" s="193">
        <v>5</v>
      </c>
      <c r="C578" s="193" t="s">
        <v>368</v>
      </c>
      <c r="D578" s="364" t="s">
        <v>369</v>
      </c>
      <c r="E578" s="666"/>
      <c r="F578" s="560"/>
      <c r="G578" s="558"/>
      <c r="H578" s="666"/>
      <c r="I578" s="390"/>
      <c r="J578" s="170">
        <f>23000000-13590811.35-6575792.53</f>
        <v>2833396.12</v>
      </c>
      <c r="K578" s="666"/>
      <c r="L578" s="666"/>
      <c r="M578" s="415">
        <f t="shared" si="147"/>
        <v>2833396.12</v>
      </c>
      <c r="N578" s="666"/>
      <c r="O578" s="666"/>
      <c r="P578" s="174"/>
      <c r="Q578" s="666"/>
      <c r="R578" s="666"/>
      <c r="S578" s="152">
        <f t="shared" si="148"/>
        <v>0</v>
      </c>
      <c r="T578" s="666"/>
      <c r="U578" s="666"/>
      <c r="V578" s="198">
        <f t="shared" si="146"/>
        <v>2833396.12</v>
      </c>
      <c r="W578" s="666"/>
      <c r="X578" s="666"/>
      <c r="Y578" s="152">
        <f t="shared" si="149"/>
        <v>2833396.12</v>
      </c>
      <c r="Z578" s="420"/>
      <c r="AA578" s="420"/>
      <c r="AB578" s="420"/>
      <c r="AC578" s="420"/>
      <c r="AD578" s="420"/>
      <c r="AE578" s="420"/>
    </row>
    <row r="579" spans="2:37" ht="45">
      <c r="B579" s="193">
        <v>6</v>
      </c>
      <c r="C579" s="193" t="s">
        <v>1383</v>
      </c>
      <c r="D579" s="360" t="s">
        <v>1384</v>
      </c>
      <c r="E579" s="666"/>
      <c r="F579" s="560"/>
      <c r="G579" s="558"/>
      <c r="H579" s="666"/>
      <c r="I579" s="390"/>
      <c r="J579" s="174">
        <v>2000000</v>
      </c>
      <c r="K579" s="666"/>
      <c r="L579" s="666"/>
      <c r="M579" s="415">
        <f t="shared" si="147"/>
        <v>2000000</v>
      </c>
      <c r="N579" s="666"/>
      <c r="O579" s="666"/>
      <c r="P579" s="174"/>
      <c r="Q579" s="666"/>
      <c r="R579" s="666"/>
      <c r="S579" s="152">
        <f t="shared" si="148"/>
        <v>0</v>
      </c>
      <c r="T579" s="666"/>
      <c r="U579" s="666"/>
      <c r="V579" s="198">
        <f t="shared" si="146"/>
        <v>2000000</v>
      </c>
      <c r="W579" s="666"/>
      <c r="X579" s="666"/>
      <c r="Y579" s="152">
        <f t="shared" si="149"/>
        <v>2000000</v>
      </c>
      <c r="Z579" s="420">
        <v>0</v>
      </c>
      <c r="AA579" s="420">
        <v>0</v>
      </c>
      <c r="AB579" s="420">
        <v>1859662.86</v>
      </c>
      <c r="AC579" s="420">
        <v>0</v>
      </c>
      <c r="AD579" s="420">
        <v>0</v>
      </c>
      <c r="AE579" s="420">
        <f>SUM(AA579+AB579+AC579)</f>
        <v>1859662.86</v>
      </c>
    </row>
    <row r="580" spans="2:37" ht="30">
      <c r="B580" s="193">
        <v>7</v>
      </c>
      <c r="C580" s="172" t="s">
        <v>820</v>
      </c>
      <c r="D580" s="145" t="s">
        <v>821</v>
      </c>
      <c r="E580" s="666"/>
      <c r="F580" s="560"/>
      <c r="G580" s="558"/>
      <c r="H580" s="666"/>
      <c r="I580" s="390"/>
      <c r="J580" s="174">
        <v>13126271.800000014</v>
      </c>
      <c r="K580" s="666"/>
      <c r="L580" s="666"/>
      <c r="M580" s="415">
        <f t="shared" si="147"/>
        <v>13126271.800000014</v>
      </c>
      <c r="N580" s="666"/>
      <c r="O580" s="666"/>
      <c r="P580" s="174"/>
      <c r="Q580" s="666"/>
      <c r="R580" s="666"/>
      <c r="S580" s="152">
        <f t="shared" si="148"/>
        <v>0</v>
      </c>
      <c r="T580" s="666"/>
      <c r="U580" s="666"/>
      <c r="V580" s="198">
        <f t="shared" si="146"/>
        <v>13126271.800000014</v>
      </c>
      <c r="W580" s="666"/>
      <c r="X580" s="666"/>
      <c r="Y580" s="152">
        <f t="shared" si="149"/>
        <v>13126271.800000014</v>
      </c>
      <c r="Z580" s="420">
        <f>1873728.2-1873728.2</f>
        <v>0</v>
      </c>
      <c r="AA580" s="420">
        <f>1873728.2-1873728.2</f>
        <v>0</v>
      </c>
      <c r="AB580" s="420">
        <f>12616920.59+1873728.2</f>
        <v>14490648.789999999</v>
      </c>
      <c r="AC580" s="420">
        <f>7500000+3500000</f>
        <v>11000000</v>
      </c>
      <c r="AD580" s="420">
        <v>0</v>
      </c>
      <c r="AE580" s="420">
        <f>SUM(AA580+AB580+AC580)</f>
        <v>25490648.789999999</v>
      </c>
    </row>
    <row r="581" spans="2:37" ht="30">
      <c r="B581" s="193">
        <v>8</v>
      </c>
      <c r="C581" s="177" t="s">
        <v>344</v>
      </c>
      <c r="D581" s="360" t="s">
        <v>375</v>
      </c>
      <c r="E581" s="666"/>
      <c r="F581" s="560"/>
      <c r="G581" s="558"/>
      <c r="H581" s="666"/>
      <c r="I581" s="390"/>
      <c r="J581" s="174">
        <v>250000</v>
      </c>
      <c r="K581" s="666"/>
      <c r="L581" s="666"/>
      <c r="M581" s="415">
        <f t="shared" si="147"/>
        <v>250000</v>
      </c>
      <c r="N581" s="666"/>
      <c r="O581" s="666"/>
      <c r="P581" s="174">
        <f>59605.61+75901.11+32100.16+27897.36</f>
        <v>195504.24</v>
      </c>
      <c r="Q581" s="666"/>
      <c r="R581" s="666"/>
      <c r="S581" s="152">
        <f t="shared" si="148"/>
        <v>195504.24</v>
      </c>
      <c r="T581" s="666"/>
      <c r="U581" s="666"/>
      <c r="V581" s="198">
        <f t="shared" si="146"/>
        <v>54495.760000000009</v>
      </c>
      <c r="W581" s="666"/>
      <c r="X581" s="666"/>
      <c r="Y581" s="152">
        <f t="shared" si="149"/>
        <v>54495.760000000009</v>
      </c>
      <c r="Z581" s="420"/>
      <c r="AA581" s="420"/>
      <c r="AB581" s="420"/>
      <c r="AC581" s="420"/>
      <c r="AD581" s="420"/>
      <c r="AE581" s="420"/>
    </row>
    <row r="582" spans="2:37" ht="30">
      <c r="B582" s="348">
        <v>9</v>
      </c>
      <c r="C582" s="175" t="s">
        <v>293</v>
      </c>
      <c r="D582" s="360" t="s">
        <v>294</v>
      </c>
      <c r="E582" s="666"/>
      <c r="F582" s="560"/>
      <c r="G582" s="558"/>
      <c r="H582" s="666"/>
      <c r="I582" s="390"/>
      <c r="J582" s="174">
        <v>582220.56999999995</v>
      </c>
      <c r="K582" s="666"/>
      <c r="L582" s="666"/>
      <c r="M582" s="415">
        <f t="shared" si="147"/>
        <v>582220.56999999995</v>
      </c>
      <c r="N582" s="666"/>
      <c r="O582" s="666"/>
      <c r="P582" s="174">
        <f>126453.86+243612.97+20428.38+105493.31+86232.05</f>
        <v>582220.57000000007</v>
      </c>
      <c r="Q582" s="666"/>
      <c r="R582" s="666"/>
      <c r="S582" s="152">
        <f t="shared" si="148"/>
        <v>582220.57000000007</v>
      </c>
      <c r="T582" s="666"/>
      <c r="U582" s="666"/>
      <c r="V582" s="512">
        <f>+J582-P582</f>
        <v>0</v>
      </c>
      <c r="W582" s="666"/>
      <c r="X582" s="666"/>
      <c r="Y582" s="152">
        <f t="shared" si="149"/>
        <v>0</v>
      </c>
      <c r="Z582" s="420"/>
      <c r="AA582" s="420"/>
      <c r="AB582" s="420"/>
      <c r="AC582" s="420"/>
      <c r="AD582" s="420"/>
      <c r="AE582" s="420"/>
    </row>
    <row r="583" spans="2:37" ht="30">
      <c r="B583" s="193">
        <v>10</v>
      </c>
      <c r="C583" s="175" t="s">
        <v>376</v>
      </c>
      <c r="D583" s="360" t="s">
        <v>377</v>
      </c>
      <c r="E583" s="666"/>
      <c r="F583" s="560"/>
      <c r="G583" s="558"/>
      <c r="H583" s="666"/>
      <c r="I583" s="390"/>
      <c r="J583" s="174">
        <v>268667.53000000003</v>
      </c>
      <c r="K583" s="666"/>
      <c r="L583" s="666"/>
      <c r="M583" s="415">
        <f t="shared" si="147"/>
        <v>268667.53000000003</v>
      </c>
      <c r="N583" s="666"/>
      <c r="O583" s="666"/>
      <c r="P583" s="174">
        <f>23439.18+169327.49+72139.43</f>
        <v>264906.09999999998</v>
      </c>
      <c r="Q583" s="666"/>
      <c r="R583" s="666"/>
      <c r="S583" s="152">
        <f t="shared" si="148"/>
        <v>264906.09999999998</v>
      </c>
      <c r="T583" s="666"/>
      <c r="U583" s="666"/>
      <c r="V583" s="438">
        <f t="shared" si="146"/>
        <v>3761.4300000000512</v>
      </c>
      <c r="W583" s="666"/>
      <c r="X583" s="666"/>
      <c r="Y583" s="152">
        <f t="shared" si="149"/>
        <v>3761.4300000000512</v>
      </c>
      <c r="Z583" s="420"/>
      <c r="AA583" s="420"/>
      <c r="AB583" s="420"/>
      <c r="AC583" s="420"/>
      <c r="AD583" s="420"/>
      <c r="AE583" s="420"/>
      <c r="AK583" s="852">
        <v>3761.4300000000512</v>
      </c>
    </row>
    <row r="584" spans="2:37" ht="30">
      <c r="B584" s="193">
        <v>11</v>
      </c>
      <c r="C584" s="175" t="s">
        <v>378</v>
      </c>
      <c r="D584" s="360" t="s">
        <v>379</v>
      </c>
      <c r="E584" s="666"/>
      <c r="F584" s="560"/>
      <c r="G584" s="558"/>
      <c r="H584" s="666"/>
      <c r="I584" s="390"/>
      <c r="J584" s="179">
        <v>273500.89</v>
      </c>
      <c r="K584" s="666"/>
      <c r="L584" s="666"/>
      <c r="M584" s="415">
        <f t="shared" si="147"/>
        <v>273500.89</v>
      </c>
      <c r="N584" s="666"/>
      <c r="O584" s="666"/>
      <c r="P584" s="179">
        <f>81631.38+23624.88+168244.63</f>
        <v>273500.89</v>
      </c>
      <c r="Q584" s="666"/>
      <c r="R584" s="666"/>
      <c r="S584" s="152">
        <f t="shared" si="148"/>
        <v>273500.89</v>
      </c>
      <c r="T584" s="666"/>
      <c r="U584" s="666"/>
      <c r="V584" s="385">
        <f t="shared" si="146"/>
        <v>0</v>
      </c>
      <c r="W584" s="666"/>
      <c r="X584" s="666"/>
      <c r="Y584" s="152">
        <f t="shared" si="149"/>
        <v>0</v>
      </c>
      <c r="Z584" s="420"/>
      <c r="AA584" s="420"/>
      <c r="AB584" s="420"/>
      <c r="AC584" s="420"/>
      <c r="AD584" s="420"/>
      <c r="AE584" s="420"/>
    </row>
    <row r="585" spans="2:37" ht="105">
      <c r="B585" s="193">
        <v>12</v>
      </c>
      <c r="C585" s="175" t="s">
        <v>357</v>
      </c>
      <c r="D585" s="360" t="s">
        <v>380</v>
      </c>
      <c r="E585" s="666"/>
      <c r="F585" s="571" t="s">
        <v>1043</v>
      </c>
      <c r="G585" s="772"/>
      <c r="H585" s="666"/>
      <c r="I585" s="390"/>
      <c r="J585" s="179">
        <v>235770</v>
      </c>
      <c r="K585" s="666"/>
      <c r="L585" s="666"/>
      <c r="M585" s="415">
        <f t="shared" si="147"/>
        <v>235770</v>
      </c>
      <c r="N585" s="666"/>
      <c r="O585" s="666"/>
      <c r="P585" s="179">
        <f>46718.56+126250.04+62261.45+539.95</f>
        <v>235770</v>
      </c>
      <c r="Q585" s="666"/>
      <c r="R585" s="666"/>
      <c r="S585" s="152">
        <f t="shared" si="148"/>
        <v>235770</v>
      </c>
      <c r="T585" s="666"/>
      <c r="U585" s="666"/>
      <c r="V585" s="385">
        <f t="shared" si="146"/>
        <v>0</v>
      </c>
      <c r="W585" s="666"/>
      <c r="X585" s="666"/>
      <c r="Y585" s="152">
        <f t="shared" si="149"/>
        <v>0</v>
      </c>
      <c r="Z585" s="420">
        <v>0</v>
      </c>
      <c r="AA585" s="420">
        <v>106867.43</v>
      </c>
      <c r="AB585" s="420">
        <f>235770+9150.08</f>
        <v>244920.08</v>
      </c>
      <c r="AC585" s="420">
        <v>235770</v>
      </c>
      <c r="AD585" s="420">
        <v>0</v>
      </c>
      <c r="AE585" s="420">
        <f>SUM(Z585:AD585)</f>
        <v>587557.51</v>
      </c>
    </row>
    <row r="586" spans="2:37" ht="30">
      <c r="B586" s="193">
        <v>13</v>
      </c>
      <c r="C586" s="175" t="s">
        <v>381</v>
      </c>
      <c r="D586" s="360" t="s">
        <v>382</v>
      </c>
      <c r="E586" s="666"/>
      <c r="F586" s="560"/>
      <c r="G586" s="558"/>
      <c r="H586" s="666"/>
      <c r="I586" s="390"/>
      <c r="J586" s="174">
        <v>226103.98</v>
      </c>
      <c r="K586" s="666"/>
      <c r="L586" s="666"/>
      <c r="M586" s="415">
        <f t="shared" si="147"/>
        <v>226103.98</v>
      </c>
      <c r="N586" s="666"/>
      <c r="O586" s="666"/>
      <c r="P586" s="174">
        <f>55180.74+52307.87+111884.66</f>
        <v>219373.27000000002</v>
      </c>
      <c r="Q586" s="666"/>
      <c r="R586" s="666"/>
      <c r="S586" s="152">
        <f t="shared" si="148"/>
        <v>219373.27000000002</v>
      </c>
      <c r="T586" s="666"/>
      <c r="U586" s="666"/>
      <c r="V586" s="485">
        <f t="shared" si="146"/>
        <v>6730.7099999999919</v>
      </c>
      <c r="W586" s="666"/>
      <c r="X586" s="666"/>
      <c r="Y586" s="152">
        <f t="shared" si="149"/>
        <v>6730.7099999999919</v>
      </c>
      <c r="Z586" s="420"/>
      <c r="AA586" s="420"/>
      <c r="AB586" s="420"/>
      <c r="AC586" s="420"/>
      <c r="AD586" s="420"/>
      <c r="AE586" s="420"/>
      <c r="AK586" s="852">
        <v>6730.7099999999919</v>
      </c>
    </row>
    <row r="587" spans="2:37" ht="30">
      <c r="B587" s="193">
        <v>14</v>
      </c>
      <c r="C587" s="216" t="s">
        <v>383</v>
      </c>
      <c r="D587" s="360" t="s">
        <v>384</v>
      </c>
      <c r="E587" s="666"/>
      <c r="F587" s="560"/>
      <c r="G587" s="558"/>
      <c r="H587" s="666"/>
      <c r="I587" s="390"/>
      <c r="J587" s="174">
        <v>15663.66</v>
      </c>
      <c r="K587" s="666"/>
      <c r="L587" s="666"/>
      <c r="M587" s="415">
        <f t="shared" si="147"/>
        <v>15663.66</v>
      </c>
      <c r="N587" s="666"/>
      <c r="O587" s="666"/>
      <c r="P587" s="174">
        <v>15661.75</v>
      </c>
      <c r="Q587" s="666"/>
      <c r="R587" s="666"/>
      <c r="S587" s="152">
        <f t="shared" si="148"/>
        <v>15661.75</v>
      </c>
      <c r="T587" s="666"/>
      <c r="U587" s="666"/>
      <c r="V587" s="385">
        <f t="shared" si="146"/>
        <v>1.9099999999998545</v>
      </c>
      <c r="W587" s="666"/>
      <c r="X587" s="666"/>
      <c r="Y587" s="205">
        <f t="shared" si="149"/>
        <v>1.9099999999998545</v>
      </c>
      <c r="Z587" s="420"/>
      <c r="AA587" s="420"/>
      <c r="AB587" s="420"/>
      <c r="AC587" s="420"/>
      <c r="AD587" s="420"/>
      <c r="AE587" s="420"/>
      <c r="AK587" s="852"/>
    </row>
    <row r="588" spans="2:37" ht="30">
      <c r="B588" s="193">
        <v>15</v>
      </c>
      <c r="C588" s="193" t="s">
        <v>295</v>
      </c>
      <c r="D588" s="360" t="s">
        <v>296</v>
      </c>
      <c r="E588" s="666"/>
      <c r="F588" s="560"/>
      <c r="G588" s="558"/>
      <c r="H588" s="666"/>
      <c r="I588" s="390"/>
      <c r="J588" s="174">
        <v>200000</v>
      </c>
      <c r="K588" s="666"/>
      <c r="L588" s="666"/>
      <c r="M588" s="415">
        <f t="shared" si="147"/>
        <v>200000</v>
      </c>
      <c r="N588" s="666"/>
      <c r="O588" s="666"/>
      <c r="P588" s="174">
        <f>12799.83+18312.74+141284.65+21474.3</f>
        <v>193871.52</v>
      </c>
      <c r="Q588" s="666"/>
      <c r="R588" s="666"/>
      <c r="S588" s="152">
        <f t="shared" si="148"/>
        <v>193871.52</v>
      </c>
      <c r="T588" s="666"/>
      <c r="U588" s="666"/>
      <c r="V588" s="383">
        <f t="shared" si="146"/>
        <v>6128.4800000000105</v>
      </c>
      <c r="W588" s="152"/>
      <c r="X588" s="666"/>
      <c r="Y588" s="205">
        <f t="shared" si="149"/>
        <v>6128.4800000000105</v>
      </c>
      <c r="Z588" s="420"/>
      <c r="AA588" s="420"/>
      <c r="AB588" s="420"/>
      <c r="AC588" s="420"/>
      <c r="AD588" s="420"/>
      <c r="AE588" s="420"/>
      <c r="AK588" s="852">
        <v>6128.4800000000105</v>
      </c>
    </row>
    <row r="589" spans="2:37" ht="30">
      <c r="B589" s="193">
        <v>16</v>
      </c>
      <c r="C589" s="216" t="s">
        <v>385</v>
      </c>
      <c r="D589" s="360" t="s">
        <v>386</v>
      </c>
      <c r="E589" s="666"/>
      <c r="F589" s="560"/>
      <c r="G589" s="558"/>
      <c r="H589" s="666"/>
      <c r="I589" s="390"/>
      <c r="J589" s="174">
        <f>1000000-110000</f>
        <v>890000</v>
      </c>
      <c r="K589" s="666"/>
      <c r="L589" s="666"/>
      <c r="M589" s="415">
        <f t="shared" si="147"/>
        <v>890000</v>
      </c>
      <c r="N589" s="666"/>
      <c r="O589" s="666"/>
      <c r="P589" s="174">
        <f>229838.99+63925.63+30734.62+402158.93+98822.99</f>
        <v>825481.15999999992</v>
      </c>
      <c r="Q589" s="666"/>
      <c r="R589" s="666"/>
      <c r="S589" s="152">
        <f t="shared" si="148"/>
        <v>825481.15999999992</v>
      </c>
      <c r="T589" s="666"/>
      <c r="U589" s="666"/>
      <c r="V589" s="383">
        <f t="shared" si="146"/>
        <v>64518.840000000084</v>
      </c>
      <c r="W589" s="666"/>
      <c r="X589" s="666"/>
      <c r="Y589" s="152">
        <f t="shared" si="149"/>
        <v>64518.840000000084</v>
      </c>
      <c r="Z589" s="420"/>
      <c r="AA589" s="420"/>
      <c r="AB589" s="420"/>
      <c r="AC589" s="420"/>
      <c r="AD589" s="420"/>
      <c r="AE589" s="420"/>
      <c r="AK589" s="852">
        <v>64518.840000000084</v>
      </c>
    </row>
    <row r="590" spans="2:37" ht="30">
      <c r="B590" s="193">
        <v>17</v>
      </c>
      <c r="C590" s="193" t="s">
        <v>387</v>
      </c>
      <c r="D590" s="364" t="s">
        <v>388</v>
      </c>
      <c r="E590" s="666"/>
      <c r="F590" s="423" t="s">
        <v>847</v>
      </c>
      <c r="G590" s="762"/>
      <c r="H590" s="666"/>
      <c r="I590" s="390"/>
      <c r="J590" s="174">
        <v>1371566.96</v>
      </c>
      <c r="K590" s="666"/>
      <c r="L590" s="666"/>
      <c r="M590" s="415">
        <f t="shared" si="147"/>
        <v>1371566.96</v>
      </c>
      <c r="N590" s="666"/>
      <c r="O590" s="666"/>
      <c r="P590" s="174">
        <f>260349+603537.86+287528.28+58434.21+161707.61</f>
        <v>1371556.96</v>
      </c>
      <c r="Q590" s="666"/>
      <c r="R590" s="666"/>
      <c r="S590" s="152">
        <f t="shared" si="148"/>
        <v>1371556.96</v>
      </c>
      <c r="T590" s="666"/>
      <c r="U590" s="666"/>
      <c r="V590" s="383">
        <f t="shared" si="146"/>
        <v>10</v>
      </c>
      <c r="W590" s="666"/>
      <c r="X590" s="666"/>
      <c r="Y590" s="152">
        <f t="shared" si="149"/>
        <v>10</v>
      </c>
      <c r="Z590" s="420">
        <f>1363997.73+7559.23</f>
        <v>1371556.96</v>
      </c>
      <c r="AA590" s="420">
        <v>0</v>
      </c>
      <c r="AB590" s="420">
        <v>0</v>
      </c>
      <c r="AC590" s="420">
        <v>0</v>
      </c>
      <c r="AD590" s="420">
        <v>0</v>
      </c>
      <c r="AE590" s="420">
        <f>SUM(Z590:AD590)</f>
        <v>1371556.96</v>
      </c>
      <c r="AK590" s="852"/>
    </row>
    <row r="591" spans="2:37" ht="45">
      <c r="B591" s="193">
        <v>18</v>
      </c>
      <c r="C591" s="492" t="s">
        <v>389</v>
      </c>
      <c r="D591" s="360" t="s">
        <v>390</v>
      </c>
      <c r="E591" s="666"/>
      <c r="F591" s="560"/>
      <c r="G591" s="558"/>
      <c r="H591" s="666"/>
      <c r="I591" s="390"/>
      <c r="J591" s="174">
        <v>1267114.28</v>
      </c>
      <c r="K591" s="666"/>
      <c r="L591" s="666"/>
      <c r="M591" s="415">
        <f t="shared" si="147"/>
        <v>1267114.28</v>
      </c>
      <c r="N591" s="666"/>
      <c r="O591" s="666"/>
      <c r="P591" s="174">
        <f>242197.99+244213.65+612536.87+164683.75</f>
        <v>1263632.26</v>
      </c>
      <c r="Q591" s="666"/>
      <c r="R591" s="666"/>
      <c r="S591" s="152">
        <f t="shared" si="148"/>
        <v>1263632.26</v>
      </c>
      <c r="T591" s="666"/>
      <c r="U591" s="666"/>
      <c r="V591" s="383">
        <f t="shared" si="146"/>
        <v>3482.0200000000186</v>
      </c>
      <c r="W591" s="666"/>
      <c r="X591" s="666"/>
      <c r="Y591" s="205">
        <f t="shared" si="149"/>
        <v>3482.0200000000186</v>
      </c>
      <c r="Z591" s="420"/>
      <c r="AA591" s="420"/>
      <c r="AB591" s="420"/>
      <c r="AC591" s="420"/>
      <c r="AD591" s="420"/>
      <c r="AE591" s="420"/>
      <c r="AK591" s="852">
        <v>3482.0200000000186</v>
      </c>
    </row>
    <row r="592" spans="2:37" ht="30">
      <c r="B592" s="348">
        <v>19</v>
      </c>
      <c r="C592" s="216" t="s">
        <v>391</v>
      </c>
      <c r="D592" s="360" t="s">
        <v>392</v>
      </c>
      <c r="E592" s="666"/>
      <c r="F592" s="560"/>
      <c r="G592" s="558"/>
      <c r="H592" s="666"/>
      <c r="I592" s="390"/>
      <c r="J592" s="174">
        <v>1205573.23</v>
      </c>
      <c r="K592" s="666"/>
      <c r="L592" s="666"/>
      <c r="M592" s="415">
        <f t="shared" si="147"/>
        <v>1205573.23</v>
      </c>
      <c r="N592" s="666"/>
      <c r="O592" s="666"/>
      <c r="P592" s="174">
        <f>527343.04+185067.08+364127.12+124351.4</f>
        <v>1200888.6399999999</v>
      </c>
      <c r="Q592" s="666"/>
      <c r="R592" s="666"/>
      <c r="S592" s="152">
        <f t="shared" si="148"/>
        <v>1200888.6399999999</v>
      </c>
      <c r="T592" s="666"/>
      <c r="U592" s="666"/>
      <c r="V592" s="383">
        <f t="shared" si="146"/>
        <v>4684.5900000000838</v>
      </c>
      <c r="W592" s="666"/>
      <c r="X592" s="666"/>
      <c r="Y592" s="152">
        <f t="shared" si="149"/>
        <v>4684.5900000000838</v>
      </c>
      <c r="Z592" s="420"/>
      <c r="AA592" s="420"/>
      <c r="AB592" s="420"/>
      <c r="AC592" s="420"/>
      <c r="AD592" s="420"/>
      <c r="AE592" s="420"/>
      <c r="AK592" s="852">
        <v>4684.5900000000838</v>
      </c>
    </row>
    <row r="593" spans="2:37" ht="30">
      <c r="B593" s="193">
        <v>20</v>
      </c>
      <c r="C593" s="216" t="s">
        <v>393</v>
      </c>
      <c r="D593" s="360" t="s">
        <v>394</v>
      </c>
      <c r="E593" s="666"/>
      <c r="F593" s="423" t="s">
        <v>847</v>
      </c>
      <c r="G593" s="762"/>
      <c r="H593" s="666"/>
      <c r="I593" s="390"/>
      <c r="J593" s="174">
        <v>1166820.42</v>
      </c>
      <c r="K593" s="666"/>
      <c r="L593" s="666"/>
      <c r="M593" s="415">
        <f t="shared" si="147"/>
        <v>1166820.42</v>
      </c>
      <c r="N593" s="666"/>
      <c r="O593" s="666"/>
      <c r="P593" s="174">
        <f>127797.22+641751.47+397271.73</f>
        <v>1166820.42</v>
      </c>
      <c r="Q593" s="666"/>
      <c r="R593" s="666"/>
      <c r="S593" s="152">
        <f t="shared" si="148"/>
        <v>1166820.42</v>
      </c>
      <c r="T593" s="666"/>
      <c r="U593" s="666"/>
      <c r="V593" s="383">
        <f t="shared" si="146"/>
        <v>0</v>
      </c>
      <c r="W593" s="666"/>
      <c r="X593" s="666"/>
      <c r="Y593" s="152">
        <f t="shared" si="149"/>
        <v>0</v>
      </c>
      <c r="Z593" s="420">
        <v>0</v>
      </c>
      <c r="AA593" s="420">
        <v>4772.0200000000004</v>
      </c>
      <c r="AB593" s="420">
        <f>1166820.42+32834.85</f>
        <v>1199655.27</v>
      </c>
      <c r="AC593" s="420">
        <v>0</v>
      </c>
      <c r="AD593" s="420">
        <v>0</v>
      </c>
      <c r="AE593" s="420">
        <f>SUM(Z593:AD593)</f>
        <v>1204427.29</v>
      </c>
    </row>
    <row r="594" spans="2:37" ht="45">
      <c r="B594" s="193">
        <v>21</v>
      </c>
      <c r="C594" s="216" t="s">
        <v>383</v>
      </c>
      <c r="D594" s="360" t="s">
        <v>395</v>
      </c>
      <c r="E594" s="666"/>
      <c r="F594" s="560"/>
      <c r="G594" s="558"/>
      <c r="H594" s="666"/>
      <c r="I594" s="390"/>
      <c r="J594" s="174">
        <v>1015353.97</v>
      </c>
      <c r="K594" s="666"/>
      <c r="L594" s="666"/>
      <c r="M594" s="415">
        <f t="shared" si="147"/>
        <v>1015353.97</v>
      </c>
      <c r="N594" s="666"/>
      <c r="O594" s="666"/>
      <c r="P594" s="174">
        <f>302893.41+288280.74+318178.08+106001.74</f>
        <v>1015353.97</v>
      </c>
      <c r="Q594" s="666"/>
      <c r="R594" s="666"/>
      <c r="S594" s="152">
        <f t="shared" si="148"/>
        <v>1015353.97</v>
      </c>
      <c r="T594" s="666"/>
      <c r="U594" s="666"/>
      <c r="V594" s="383">
        <f t="shared" si="146"/>
        <v>0</v>
      </c>
      <c r="W594" s="666"/>
      <c r="X594" s="666"/>
      <c r="Y594" s="205">
        <f t="shared" si="149"/>
        <v>0</v>
      </c>
      <c r="Z594" s="420"/>
      <c r="AA594" s="420"/>
      <c r="AB594" s="420"/>
      <c r="AC594" s="420"/>
      <c r="AD594" s="420"/>
      <c r="AE594" s="420"/>
    </row>
    <row r="595" spans="2:37" ht="30">
      <c r="B595" s="193">
        <v>22</v>
      </c>
      <c r="C595" s="180"/>
      <c r="D595" s="360" t="s">
        <v>31</v>
      </c>
      <c r="E595" s="666"/>
      <c r="F595" s="560"/>
      <c r="G595" s="558"/>
      <c r="H595" s="666"/>
      <c r="I595" s="390"/>
      <c r="J595" s="174">
        <v>0</v>
      </c>
      <c r="K595" s="666"/>
      <c r="L595" s="666"/>
      <c r="M595" s="415">
        <f t="shared" si="147"/>
        <v>0</v>
      </c>
      <c r="N595" s="666"/>
      <c r="O595" s="666"/>
      <c r="P595" s="174"/>
      <c r="Q595" s="666"/>
      <c r="R595" s="666"/>
      <c r="S595" s="152">
        <f t="shared" si="148"/>
        <v>0</v>
      </c>
      <c r="T595" s="666"/>
      <c r="U595" s="666"/>
      <c r="V595" s="174">
        <f t="shared" si="146"/>
        <v>0</v>
      </c>
      <c r="W595" s="666"/>
      <c r="X595" s="666"/>
      <c r="Y595" s="152">
        <f t="shared" si="149"/>
        <v>0</v>
      </c>
      <c r="Z595" s="420"/>
      <c r="AA595" s="420"/>
      <c r="AB595" s="420"/>
      <c r="AC595" s="420"/>
      <c r="AD595" s="420"/>
      <c r="AE595" s="420"/>
    </row>
    <row r="596" spans="2:37" ht="60">
      <c r="B596" s="193">
        <v>22.1</v>
      </c>
      <c r="C596" s="193" t="s">
        <v>299</v>
      </c>
      <c r="D596" s="360" t="s">
        <v>300</v>
      </c>
      <c r="E596" s="666"/>
      <c r="F596" s="560"/>
      <c r="G596" s="558"/>
      <c r="H596" s="666"/>
      <c r="I596" s="390"/>
      <c r="J596" s="174">
        <v>196180.62</v>
      </c>
      <c r="K596" s="666"/>
      <c r="L596" s="666"/>
      <c r="M596" s="415">
        <f t="shared" si="147"/>
        <v>196180.62</v>
      </c>
      <c r="N596" s="666"/>
      <c r="O596" s="666"/>
      <c r="P596" s="174">
        <v>34885.1</v>
      </c>
      <c r="Q596" s="666"/>
      <c r="R596" s="666"/>
      <c r="S596" s="152">
        <f t="shared" si="148"/>
        <v>34885.1</v>
      </c>
      <c r="T596" s="666"/>
      <c r="U596" s="666"/>
      <c r="V596" s="174">
        <f t="shared" si="146"/>
        <v>161295.51999999999</v>
      </c>
      <c r="W596" s="666"/>
      <c r="X596" s="666"/>
      <c r="Y596" s="152">
        <f t="shared" si="149"/>
        <v>161295.51999999999</v>
      </c>
      <c r="Z596" s="420"/>
      <c r="AA596" s="420"/>
      <c r="AB596" s="420"/>
      <c r="AC596" s="420"/>
      <c r="AD596" s="420"/>
      <c r="AE596" s="420"/>
    </row>
    <row r="597" spans="2:37" ht="60">
      <c r="B597" s="193">
        <v>22.2</v>
      </c>
      <c r="C597" s="176" t="s">
        <v>303</v>
      </c>
      <c r="D597" s="364" t="s">
        <v>304</v>
      </c>
      <c r="E597" s="666"/>
      <c r="F597" s="588" t="s">
        <v>1158</v>
      </c>
      <c r="G597" s="780"/>
      <c r="H597" s="666"/>
      <c r="I597" s="390"/>
      <c r="J597" s="174">
        <v>138708.16</v>
      </c>
      <c r="K597" s="666"/>
      <c r="L597" s="666"/>
      <c r="M597" s="415">
        <f t="shared" si="147"/>
        <v>138708.16</v>
      </c>
      <c r="N597" s="666"/>
      <c r="O597" s="666"/>
      <c r="P597" s="174">
        <v>0</v>
      </c>
      <c r="Q597" s="666"/>
      <c r="R597" s="666"/>
      <c r="S597" s="152">
        <f t="shared" si="148"/>
        <v>0</v>
      </c>
      <c r="T597" s="666"/>
      <c r="U597" s="666"/>
      <c r="V597" s="383">
        <f t="shared" si="146"/>
        <v>138708.16</v>
      </c>
      <c r="W597" s="666"/>
      <c r="X597" s="666"/>
      <c r="Y597" s="152">
        <f t="shared" si="149"/>
        <v>138708.16</v>
      </c>
      <c r="Z597" s="420">
        <v>0</v>
      </c>
      <c r="AA597" s="420">
        <v>1438089.7</v>
      </c>
      <c r="AB597" s="420">
        <v>138708.16</v>
      </c>
      <c r="AC597" s="420">
        <v>0</v>
      </c>
      <c r="AD597" s="420">
        <v>0</v>
      </c>
      <c r="AE597" s="420">
        <f>SUM(Z597:AD597)</f>
        <v>1576797.8599999999</v>
      </c>
      <c r="AK597" s="852">
        <v>138708.16</v>
      </c>
    </row>
    <row r="598" spans="2:37" ht="60">
      <c r="B598" s="193">
        <v>22.3</v>
      </c>
      <c r="C598" s="176" t="s">
        <v>309</v>
      </c>
      <c r="D598" s="360" t="s">
        <v>310</v>
      </c>
      <c r="E598" s="666"/>
      <c r="F598" s="560"/>
      <c r="G598" s="558"/>
      <c r="H598" s="666"/>
      <c r="I598" s="390"/>
      <c r="J598" s="155">
        <f>1448845.5-439019.61</f>
        <v>1009825.89</v>
      </c>
      <c r="K598" s="666"/>
      <c r="L598" s="666"/>
      <c r="M598" s="415">
        <f t="shared" si="147"/>
        <v>1009825.89</v>
      </c>
      <c r="N598" s="666"/>
      <c r="O598" s="666"/>
      <c r="P598" s="174">
        <v>1009825.89</v>
      </c>
      <c r="Q598" s="666"/>
      <c r="R598" s="666"/>
      <c r="S598" s="152">
        <f t="shared" si="148"/>
        <v>1009825.89</v>
      </c>
      <c r="T598" s="666"/>
      <c r="U598" s="666"/>
      <c r="V598" s="383">
        <f t="shared" si="146"/>
        <v>0</v>
      </c>
      <c r="W598" s="666"/>
      <c r="X598" s="666"/>
      <c r="Y598" s="205">
        <f t="shared" si="149"/>
        <v>0</v>
      </c>
      <c r="Z598" s="420"/>
      <c r="AA598" s="420"/>
      <c r="AB598" s="420"/>
      <c r="AC598" s="420"/>
      <c r="AD598" s="420"/>
      <c r="AE598" s="420"/>
    </row>
    <row r="599" spans="2:37" ht="30">
      <c r="B599" s="193">
        <v>22.4</v>
      </c>
      <c r="C599" s="193" t="s">
        <v>398</v>
      </c>
      <c r="D599" s="360" t="s">
        <v>399</v>
      </c>
      <c r="E599" s="666"/>
      <c r="F599" s="560"/>
      <c r="G599" s="558"/>
      <c r="H599" s="666"/>
      <c r="I599" s="390"/>
      <c r="J599" s="174">
        <v>437675.42</v>
      </c>
      <c r="K599" s="666"/>
      <c r="L599" s="666"/>
      <c r="M599" s="415">
        <f t="shared" si="147"/>
        <v>437675.42</v>
      </c>
      <c r="N599" s="666"/>
      <c r="O599" s="666"/>
      <c r="P599" s="174">
        <v>390465.26</v>
      </c>
      <c r="Q599" s="666"/>
      <c r="R599" s="666"/>
      <c r="S599" s="152">
        <f t="shared" si="148"/>
        <v>390465.26</v>
      </c>
      <c r="T599" s="666"/>
      <c r="U599" s="666"/>
      <c r="V599" s="174">
        <f t="shared" si="146"/>
        <v>47210.159999999974</v>
      </c>
      <c r="W599" s="666"/>
      <c r="X599" s="666"/>
      <c r="Y599" s="152">
        <f t="shared" si="149"/>
        <v>47210.159999999974</v>
      </c>
      <c r="Z599" s="420"/>
      <c r="AA599" s="420"/>
      <c r="AB599" s="420"/>
      <c r="AC599" s="420"/>
      <c r="AD599" s="420"/>
      <c r="AE599" s="420"/>
    </row>
    <row r="600" spans="2:37" ht="75">
      <c r="B600" s="193">
        <v>22.5</v>
      </c>
      <c r="C600" s="216" t="s">
        <v>400</v>
      </c>
      <c r="D600" s="360" t="s">
        <v>401</v>
      </c>
      <c r="E600" s="666"/>
      <c r="F600" s="560"/>
      <c r="G600" s="558"/>
      <c r="H600" s="666"/>
      <c r="I600" s="390"/>
      <c r="J600" s="174">
        <v>1485861.4</v>
      </c>
      <c r="K600" s="666"/>
      <c r="L600" s="666"/>
      <c r="M600" s="415">
        <f t="shared" si="147"/>
        <v>1485861.4</v>
      </c>
      <c r="N600" s="666"/>
      <c r="O600" s="666"/>
      <c r="P600" s="174">
        <v>423403.13</v>
      </c>
      <c r="Q600" s="666"/>
      <c r="R600" s="666"/>
      <c r="S600" s="152">
        <f t="shared" si="148"/>
        <v>423403.13</v>
      </c>
      <c r="T600" s="666"/>
      <c r="U600" s="666"/>
      <c r="V600" s="174">
        <f t="shared" si="146"/>
        <v>1062458.27</v>
      </c>
      <c r="W600" s="666"/>
      <c r="X600" s="666"/>
      <c r="Y600" s="152">
        <f t="shared" si="149"/>
        <v>1062458.27</v>
      </c>
      <c r="Z600" s="420"/>
      <c r="AA600" s="420"/>
      <c r="AB600" s="420"/>
      <c r="AC600" s="420"/>
      <c r="AD600" s="420"/>
      <c r="AE600" s="420"/>
    </row>
    <row r="601" spans="2:37" ht="60">
      <c r="B601" s="193">
        <v>22.6</v>
      </c>
      <c r="C601" s="216" t="s">
        <v>402</v>
      </c>
      <c r="D601" s="360" t="s">
        <v>403</v>
      </c>
      <c r="E601" s="666"/>
      <c r="F601" s="560"/>
      <c r="G601" s="558"/>
      <c r="H601" s="666"/>
      <c r="I601" s="390"/>
      <c r="J601" s="174">
        <v>1506492</v>
      </c>
      <c r="K601" s="666"/>
      <c r="L601" s="666"/>
      <c r="M601" s="415">
        <f t="shared" si="147"/>
        <v>1506492</v>
      </c>
      <c r="N601" s="666"/>
      <c r="O601" s="666"/>
      <c r="P601" s="174">
        <f>253325.96+831735+263064.8+158366.24</f>
        <v>1506492</v>
      </c>
      <c r="Q601" s="666"/>
      <c r="R601" s="666"/>
      <c r="S601" s="152">
        <f t="shared" si="148"/>
        <v>1506492</v>
      </c>
      <c r="T601" s="666"/>
      <c r="U601" s="666"/>
      <c r="V601" s="383">
        <f t="shared" si="146"/>
        <v>0</v>
      </c>
      <c r="W601" s="666"/>
      <c r="X601" s="666"/>
      <c r="Y601" s="205">
        <f t="shared" si="149"/>
        <v>0</v>
      </c>
      <c r="Z601" s="420"/>
      <c r="AA601" s="420"/>
      <c r="AB601" s="420"/>
      <c r="AC601" s="420"/>
      <c r="AD601" s="420"/>
      <c r="AE601" s="420"/>
    </row>
    <row r="602" spans="2:37" ht="30">
      <c r="B602" s="193">
        <v>23</v>
      </c>
      <c r="C602" s="193" t="s">
        <v>831</v>
      </c>
      <c r="D602" s="360" t="s">
        <v>832</v>
      </c>
      <c r="E602" s="666"/>
      <c r="F602" s="560"/>
      <c r="G602" s="558"/>
      <c r="H602" s="666"/>
      <c r="I602" s="390"/>
      <c r="J602" s="174">
        <v>105560</v>
      </c>
      <c r="K602" s="666"/>
      <c r="L602" s="666"/>
      <c r="M602" s="415">
        <f t="shared" si="147"/>
        <v>105560</v>
      </c>
      <c r="N602" s="666"/>
      <c r="O602" s="666"/>
      <c r="P602" s="174">
        <v>105560</v>
      </c>
      <c r="Q602" s="666"/>
      <c r="R602" s="666"/>
      <c r="S602" s="152">
        <f t="shared" si="148"/>
        <v>105560</v>
      </c>
      <c r="T602" s="666"/>
      <c r="U602" s="666"/>
      <c r="V602" s="383">
        <f t="shared" si="146"/>
        <v>0</v>
      </c>
      <c r="W602" s="666"/>
      <c r="X602" s="666"/>
      <c r="Y602" s="152">
        <f t="shared" si="149"/>
        <v>0</v>
      </c>
      <c r="Z602" s="420">
        <v>0</v>
      </c>
      <c r="AA602" s="420">
        <v>0</v>
      </c>
      <c r="AB602" s="420">
        <v>105560</v>
      </c>
      <c r="AC602" s="420">
        <v>0</v>
      </c>
      <c r="AD602" s="420">
        <v>0</v>
      </c>
      <c r="AE602" s="420">
        <v>105560</v>
      </c>
    </row>
    <row r="603" spans="2:37" ht="45">
      <c r="B603" s="193">
        <v>24</v>
      </c>
      <c r="C603" s="193" t="s">
        <v>313</v>
      </c>
      <c r="D603" s="360" t="s">
        <v>314</v>
      </c>
      <c r="E603" s="666"/>
      <c r="F603" s="560"/>
      <c r="G603" s="558"/>
      <c r="H603" s="666"/>
      <c r="I603" s="390"/>
      <c r="J603" s="174">
        <v>66634.830000000016</v>
      </c>
      <c r="K603" s="666"/>
      <c r="L603" s="666"/>
      <c r="M603" s="415">
        <f t="shared" si="147"/>
        <v>66634.830000000016</v>
      </c>
      <c r="N603" s="666"/>
      <c r="O603" s="666"/>
      <c r="P603" s="174">
        <f>28297.84+22650.82+15686.16</f>
        <v>66634.820000000007</v>
      </c>
      <c r="Q603" s="666"/>
      <c r="R603" s="666"/>
      <c r="S603" s="152">
        <f t="shared" si="148"/>
        <v>66634.820000000007</v>
      </c>
      <c r="T603" s="666"/>
      <c r="U603" s="666"/>
      <c r="V603" s="383">
        <f t="shared" si="146"/>
        <v>1.0000000009313226E-2</v>
      </c>
      <c r="W603" s="666"/>
      <c r="X603" s="666"/>
      <c r="Y603" s="205">
        <f t="shared" si="149"/>
        <v>1.0000000009313226E-2</v>
      </c>
      <c r="Z603" s="420"/>
      <c r="AA603" s="420"/>
      <c r="AB603" s="420"/>
      <c r="AC603" s="420"/>
      <c r="AD603" s="420"/>
      <c r="AE603" s="420"/>
    </row>
    <row r="604" spans="2:37" ht="75">
      <c r="B604" s="193">
        <v>25</v>
      </c>
      <c r="C604" s="216" t="s">
        <v>404</v>
      </c>
      <c r="D604" s="360" t="s">
        <v>405</v>
      </c>
      <c r="E604" s="666"/>
      <c r="F604" s="586" t="s">
        <v>1222</v>
      </c>
      <c r="G604" s="779"/>
      <c r="H604" s="666"/>
      <c r="I604" s="390"/>
      <c r="J604" s="174">
        <f>454238.28+110000</f>
        <v>564238.28</v>
      </c>
      <c r="K604" s="666"/>
      <c r="L604" s="666"/>
      <c r="M604" s="415">
        <f t="shared" si="147"/>
        <v>564238.28</v>
      </c>
      <c r="N604" s="666"/>
      <c r="O604" s="666"/>
      <c r="P604" s="174">
        <f>31685.08+51059.58+51059.58+51059.58+51059.58+51059.58+51059.58+51059.58+65136.14+110000</f>
        <v>564238.28</v>
      </c>
      <c r="Q604" s="666"/>
      <c r="R604" s="666"/>
      <c r="S604" s="152">
        <f t="shared" si="148"/>
        <v>564238.28</v>
      </c>
      <c r="T604" s="666"/>
      <c r="U604" s="666"/>
      <c r="V604" s="383">
        <f t="shared" si="146"/>
        <v>0</v>
      </c>
      <c r="W604" s="666"/>
      <c r="X604" s="666"/>
      <c r="Y604" s="152">
        <f t="shared" si="149"/>
        <v>0</v>
      </c>
      <c r="Z604" s="420">
        <v>0</v>
      </c>
      <c r="AA604" s="420">
        <v>0</v>
      </c>
      <c r="AB604" s="420">
        <f>454238.2+110000</f>
        <v>564238.19999999995</v>
      </c>
      <c r="AC604" s="420">
        <v>0</v>
      </c>
      <c r="AD604" s="420">
        <v>0</v>
      </c>
      <c r="AE604" s="420">
        <f>SUM(Z604:AD604)</f>
        <v>564238.19999999995</v>
      </c>
    </row>
    <row r="605" spans="2:37" ht="75">
      <c r="B605" s="193">
        <v>26</v>
      </c>
      <c r="C605" s="216" t="s">
        <v>406</v>
      </c>
      <c r="D605" s="360" t="s">
        <v>407</v>
      </c>
      <c r="E605" s="666"/>
      <c r="F605" s="560"/>
      <c r="G605" s="558"/>
      <c r="H605" s="666"/>
      <c r="I605" s="390"/>
      <c r="J605" s="174">
        <v>226200</v>
      </c>
      <c r="K605" s="666"/>
      <c r="L605" s="666"/>
      <c r="M605" s="415">
        <f t="shared" si="147"/>
        <v>226200</v>
      </c>
      <c r="N605" s="666"/>
      <c r="O605" s="666"/>
      <c r="P605" s="174">
        <f>37300.38+132802.02+33477.6+22620</f>
        <v>226200</v>
      </c>
      <c r="Q605" s="666"/>
      <c r="R605" s="666"/>
      <c r="S605" s="152">
        <f t="shared" si="148"/>
        <v>226200</v>
      </c>
      <c r="T605" s="666"/>
      <c r="U605" s="666"/>
      <c r="V605" s="383">
        <f t="shared" si="146"/>
        <v>0</v>
      </c>
      <c r="W605" s="666"/>
      <c r="X605" s="666"/>
      <c r="Y605" s="152">
        <f t="shared" si="149"/>
        <v>0</v>
      </c>
      <c r="Z605" s="420"/>
      <c r="AA605" s="420"/>
      <c r="AB605" s="420"/>
      <c r="AC605" s="420"/>
      <c r="AD605" s="420"/>
      <c r="AE605" s="420"/>
    </row>
    <row r="606" spans="2:37" ht="30">
      <c r="B606" s="193">
        <v>27</v>
      </c>
      <c r="C606" s="216" t="s">
        <v>408</v>
      </c>
      <c r="D606" s="360" t="s">
        <v>409</v>
      </c>
      <c r="E606" s="666"/>
      <c r="F606" s="560"/>
      <c r="G606" s="558"/>
      <c r="H606" s="666"/>
      <c r="I606" s="390"/>
      <c r="J606" s="174">
        <v>66005.070000000007</v>
      </c>
      <c r="K606" s="666"/>
      <c r="L606" s="666"/>
      <c r="M606" s="415">
        <f t="shared" si="147"/>
        <v>66005.070000000007</v>
      </c>
      <c r="N606" s="666"/>
      <c r="O606" s="666"/>
      <c r="P606" s="174">
        <f>1230.03+50546.66+10917.02+3311.36</f>
        <v>66005.070000000007</v>
      </c>
      <c r="Q606" s="666"/>
      <c r="R606" s="666"/>
      <c r="S606" s="152">
        <f t="shared" si="148"/>
        <v>66005.070000000007</v>
      </c>
      <c r="T606" s="666"/>
      <c r="U606" s="666"/>
      <c r="V606" s="383">
        <f t="shared" si="146"/>
        <v>0</v>
      </c>
      <c r="W606" s="666"/>
      <c r="X606" s="666"/>
      <c r="Y606" s="152">
        <f t="shared" si="149"/>
        <v>0</v>
      </c>
      <c r="Z606" s="420"/>
      <c r="AA606" s="420"/>
      <c r="AB606" s="420"/>
      <c r="AC606" s="420"/>
      <c r="AD606" s="420"/>
      <c r="AE606" s="420"/>
    </row>
    <row r="607" spans="2:37" ht="45">
      <c r="B607" s="193">
        <v>28</v>
      </c>
      <c r="C607" s="216" t="s">
        <v>408</v>
      </c>
      <c r="D607" s="360" t="s">
        <v>410</v>
      </c>
      <c r="E607" s="666"/>
      <c r="F607" s="560"/>
      <c r="G607" s="558"/>
      <c r="H607" s="666"/>
      <c r="I607" s="390"/>
      <c r="J607" s="174">
        <v>38399.620000000003</v>
      </c>
      <c r="K607" s="666"/>
      <c r="L607" s="666"/>
      <c r="M607" s="415">
        <f t="shared" si="147"/>
        <v>38399.620000000003</v>
      </c>
      <c r="N607" s="666"/>
      <c r="O607" s="666"/>
      <c r="P607" s="174">
        <f>12424.53+25975.09</f>
        <v>38399.620000000003</v>
      </c>
      <c r="Q607" s="666"/>
      <c r="R607" s="666"/>
      <c r="S607" s="152">
        <f t="shared" si="148"/>
        <v>38399.620000000003</v>
      </c>
      <c r="T607" s="666"/>
      <c r="U607" s="666"/>
      <c r="V607" s="383">
        <f t="shared" si="146"/>
        <v>0</v>
      </c>
      <c r="W607" s="666"/>
      <c r="X607" s="666"/>
      <c r="Y607" s="152">
        <f t="shared" si="149"/>
        <v>0</v>
      </c>
      <c r="Z607" s="420"/>
      <c r="AA607" s="420"/>
      <c r="AB607" s="420"/>
      <c r="AC607" s="420"/>
      <c r="AD607" s="420"/>
      <c r="AE607" s="420"/>
    </row>
    <row r="608" spans="2:37" ht="30">
      <c r="B608" s="348">
        <v>29</v>
      </c>
      <c r="C608" s="216" t="s">
        <v>411</v>
      </c>
      <c r="D608" s="360" t="s">
        <v>412</v>
      </c>
      <c r="E608" s="666"/>
      <c r="F608" s="560"/>
      <c r="G608" s="558"/>
      <c r="H608" s="666"/>
      <c r="I608" s="390"/>
      <c r="J608" s="174">
        <v>100992.24</v>
      </c>
      <c r="K608" s="666"/>
      <c r="L608" s="666"/>
      <c r="M608" s="415">
        <f t="shared" si="147"/>
        <v>100992.24</v>
      </c>
      <c r="N608" s="666"/>
      <c r="O608" s="666"/>
      <c r="P608" s="174">
        <f>27682.9+32996.4+22361.2+17951.74</f>
        <v>100992.24</v>
      </c>
      <c r="Q608" s="666"/>
      <c r="R608" s="666"/>
      <c r="S608" s="152">
        <f t="shared" si="148"/>
        <v>100992.24</v>
      </c>
      <c r="T608" s="666"/>
      <c r="U608" s="666"/>
      <c r="V608" s="383">
        <f t="shared" si="146"/>
        <v>0</v>
      </c>
      <c r="W608" s="666"/>
      <c r="X608" s="666"/>
      <c r="Y608" s="152">
        <f t="shared" si="149"/>
        <v>0</v>
      </c>
      <c r="Z608" s="420"/>
      <c r="AA608" s="420"/>
      <c r="AB608" s="420"/>
      <c r="AC608" s="420"/>
      <c r="AD608" s="420"/>
      <c r="AE608" s="420"/>
    </row>
    <row r="609" spans="2:37" ht="30">
      <c r="B609" s="193">
        <v>30</v>
      </c>
      <c r="C609" s="216" t="s">
        <v>411</v>
      </c>
      <c r="D609" s="360" t="s">
        <v>413</v>
      </c>
      <c r="E609" s="666"/>
      <c r="F609" s="560"/>
      <c r="G609" s="558"/>
      <c r="H609" s="666"/>
      <c r="I609" s="390"/>
      <c r="J609" s="174">
        <v>84517.88</v>
      </c>
      <c r="K609" s="666"/>
      <c r="L609" s="666"/>
      <c r="M609" s="415">
        <f t="shared" si="147"/>
        <v>84517.88</v>
      </c>
      <c r="N609" s="666"/>
      <c r="O609" s="666"/>
      <c r="P609" s="174">
        <f>63220.73+21297.15</f>
        <v>84517.88</v>
      </c>
      <c r="Q609" s="666"/>
      <c r="R609" s="666"/>
      <c r="S609" s="152">
        <f t="shared" si="148"/>
        <v>84517.88</v>
      </c>
      <c r="T609" s="666"/>
      <c r="U609" s="666"/>
      <c r="V609" s="383">
        <f t="shared" si="146"/>
        <v>0</v>
      </c>
      <c r="W609" s="666"/>
      <c r="X609" s="666"/>
      <c r="Y609" s="152">
        <f t="shared" si="149"/>
        <v>0</v>
      </c>
      <c r="Z609" s="420"/>
      <c r="AA609" s="420"/>
      <c r="AB609" s="420"/>
      <c r="AC609" s="420"/>
      <c r="AD609" s="420"/>
      <c r="AE609" s="420"/>
    </row>
    <row r="610" spans="2:37" ht="30">
      <c r="B610" s="193">
        <v>31</v>
      </c>
      <c r="C610" s="216" t="s">
        <v>414</v>
      </c>
      <c r="D610" s="360" t="s">
        <v>415</v>
      </c>
      <c r="E610" s="666"/>
      <c r="F610" s="560"/>
      <c r="G610" s="558"/>
      <c r="H610" s="666"/>
      <c r="I610" s="390"/>
      <c r="J610" s="174">
        <v>96262.69</v>
      </c>
      <c r="K610" s="666"/>
      <c r="L610" s="666"/>
      <c r="M610" s="415">
        <f t="shared" si="147"/>
        <v>96262.69</v>
      </c>
      <c r="N610" s="666"/>
      <c r="O610" s="666"/>
      <c r="P610" s="174">
        <f>2720.15+19962.43+29616.89</f>
        <v>52299.47</v>
      </c>
      <c r="Q610" s="666"/>
      <c r="R610" s="666"/>
      <c r="S610" s="152">
        <f t="shared" si="148"/>
        <v>52299.47</v>
      </c>
      <c r="T610" s="666"/>
      <c r="U610" s="666"/>
      <c r="V610" s="174">
        <f t="shared" si="146"/>
        <v>43963.22</v>
      </c>
      <c r="W610" s="666"/>
      <c r="X610" s="666"/>
      <c r="Y610" s="152">
        <f t="shared" si="149"/>
        <v>43963.22</v>
      </c>
      <c r="Z610" s="420"/>
      <c r="AA610" s="420"/>
      <c r="AB610" s="420"/>
      <c r="AC610" s="420"/>
      <c r="AD610" s="420"/>
      <c r="AE610" s="420"/>
    </row>
    <row r="611" spans="2:37" ht="30">
      <c r="B611" s="193">
        <v>32</v>
      </c>
      <c r="C611" s="216" t="s">
        <v>414</v>
      </c>
      <c r="D611" s="360" t="s">
        <v>416</v>
      </c>
      <c r="E611" s="666"/>
      <c r="F611" s="560"/>
      <c r="G611" s="558"/>
      <c r="H611" s="666"/>
      <c r="I611" s="390"/>
      <c r="J611" s="174">
        <v>27066.18</v>
      </c>
      <c r="K611" s="666"/>
      <c r="L611" s="666"/>
      <c r="M611" s="415">
        <f t="shared" si="147"/>
        <v>27066.18</v>
      </c>
      <c r="N611" s="666"/>
      <c r="O611" s="666"/>
      <c r="P611" s="174">
        <v>0</v>
      </c>
      <c r="Q611" s="666"/>
      <c r="R611" s="666"/>
      <c r="S611" s="152">
        <f t="shared" si="148"/>
        <v>0</v>
      </c>
      <c r="T611" s="666"/>
      <c r="U611" s="666"/>
      <c r="V611" s="174">
        <f t="shared" si="146"/>
        <v>27066.18</v>
      </c>
      <c r="W611" s="666"/>
      <c r="X611" s="666"/>
      <c r="Y611" s="152">
        <f t="shared" si="149"/>
        <v>27066.18</v>
      </c>
      <c r="Z611" s="420"/>
      <c r="AA611" s="420"/>
      <c r="AB611" s="420"/>
      <c r="AC611" s="420"/>
      <c r="AD611" s="420"/>
      <c r="AE611" s="420"/>
    </row>
    <row r="612" spans="2:37" ht="45">
      <c r="B612" s="193">
        <v>33</v>
      </c>
      <c r="C612" s="216" t="s">
        <v>417</v>
      </c>
      <c r="D612" s="360" t="s">
        <v>418</v>
      </c>
      <c r="E612" s="666"/>
      <c r="F612" s="560"/>
      <c r="G612" s="558"/>
      <c r="H612" s="666"/>
      <c r="I612" s="390"/>
      <c r="J612" s="174">
        <v>14651.73</v>
      </c>
      <c r="K612" s="666"/>
      <c r="L612" s="666"/>
      <c r="M612" s="415">
        <f t="shared" si="147"/>
        <v>14651.73</v>
      </c>
      <c r="N612" s="666"/>
      <c r="O612" s="666"/>
      <c r="P612" s="174">
        <f>6593.28+4249+1172.13+1172.13+1465.19</f>
        <v>14651.730000000001</v>
      </c>
      <c r="Q612" s="666"/>
      <c r="R612" s="666"/>
      <c r="S612" s="152">
        <f t="shared" si="148"/>
        <v>14651.730000000001</v>
      </c>
      <c r="T612" s="666"/>
      <c r="U612" s="666"/>
      <c r="V612" s="383">
        <f t="shared" si="146"/>
        <v>0</v>
      </c>
      <c r="W612" s="666"/>
      <c r="X612" s="666"/>
      <c r="Y612" s="152">
        <f t="shared" si="149"/>
        <v>0</v>
      </c>
      <c r="Z612" s="420"/>
      <c r="AA612" s="420"/>
      <c r="AB612" s="420"/>
      <c r="AC612" s="420"/>
      <c r="AD612" s="420"/>
      <c r="AE612" s="420"/>
    </row>
    <row r="613" spans="2:37" ht="30">
      <c r="B613" s="193">
        <v>34</v>
      </c>
      <c r="C613" s="216" t="s">
        <v>419</v>
      </c>
      <c r="D613" s="360" t="s">
        <v>420</v>
      </c>
      <c r="E613" s="666"/>
      <c r="F613" s="560"/>
      <c r="G613" s="558"/>
      <c r="H613" s="666"/>
      <c r="I613" s="390"/>
      <c r="J613" s="174">
        <v>18632.939999999999</v>
      </c>
      <c r="K613" s="666"/>
      <c r="L613" s="666"/>
      <c r="M613" s="415">
        <f t="shared" si="147"/>
        <v>18632.939999999999</v>
      </c>
      <c r="N613" s="666"/>
      <c r="O613" s="666"/>
      <c r="P613" s="174">
        <f>4471.9+2981.27+9316.47+1863.3</f>
        <v>18632.939999999999</v>
      </c>
      <c r="Q613" s="666"/>
      <c r="R613" s="666"/>
      <c r="S613" s="152">
        <f t="shared" si="148"/>
        <v>18632.939999999999</v>
      </c>
      <c r="T613" s="666"/>
      <c r="U613" s="666"/>
      <c r="V613" s="383">
        <f t="shared" si="146"/>
        <v>0</v>
      </c>
      <c r="W613" s="666"/>
      <c r="X613" s="666"/>
      <c r="Y613" s="152">
        <f t="shared" si="149"/>
        <v>0</v>
      </c>
      <c r="Z613" s="420"/>
      <c r="AA613" s="420"/>
      <c r="AB613" s="420"/>
      <c r="AC613" s="420"/>
      <c r="AD613" s="420"/>
      <c r="AE613" s="420"/>
    </row>
    <row r="614" spans="2:37" ht="45">
      <c r="B614" s="193">
        <v>35</v>
      </c>
      <c r="C614" s="216" t="s">
        <v>421</v>
      </c>
      <c r="D614" s="360" t="s">
        <v>422</v>
      </c>
      <c r="E614" s="666"/>
      <c r="F614" s="560"/>
      <c r="G614" s="558"/>
      <c r="H614" s="666"/>
      <c r="I614" s="390"/>
      <c r="J614" s="174">
        <v>16758.66</v>
      </c>
      <c r="K614" s="666"/>
      <c r="L614" s="666"/>
      <c r="M614" s="415">
        <f t="shared" si="147"/>
        <v>16758.66</v>
      </c>
      <c r="N614" s="666"/>
      <c r="O614" s="666"/>
      <c r="P614" s="174">
        <f>1592.08+2765.17+3519.32+4692.42+2513.8+1675.87</f>
        <v>16758.66</v>
      </c>
      <c r="Q614" s="666"/>
      <c r="R614" s="666"/>
      <c r="S614" s="152">
        <f t="shared" si="148"/>
        <v>16758.66</v>
      </c>
      <c r="T614" s="666"/>
      <c r="U614" s="666"/>
      <c r="V614" s="383">
        <f t="shared" si="146"/>
        <v>0</v>
      </c>
      <c r="W614" s="666"/>
      <c r="X614" s="666"/>
      <c r="Y614" s="152">
        <f t="shared" si="149"/>
        <v>0</v>
      </c>
      <c r="Z614" s="420"/>
      <c r="AA614" s="420"/>
      <c r="AB614" s="420"/>
      <c r="AC614" s="420"/>
      <c r="AD614" s="420"/>
      <c r="AE614" s="420"/>
    </row>
    <row r="615" spans="2:37" ht="30">
      <c r="B615" s="193">
        <v>36</v>
      </c>
      <c r="C615" s="216" t="s">
        <v>333</v>
      </c>
      <c r="D615" s="360" t="s">
        <v>334</v>
      </c>
      <c r="E615" s="666"/>
      <c r="F615" s="560"/>
      <c r="G615" s="558"/>
      <c r="H615" s="666"/>
      <c r="I615" s="390"/>
      <c r="J615" s="174">
        <v>134144.89000000001</v>
      </c>
      <c r="K615" s="666"/>
      <c r="L615" s="666"/>
      <c r="M615" s="415">
        <f t="shared" si="147"/>
        <v>134144.89000000001</v>
      </c>
      <c r="N615" s="666"/>
      <c r="O615" s="666"/>
      <c r="P615" s="174">
        <f>1368.28+10168.18+15359.6+10369.4+8706.01+24307.06</f>
        <v>70278.53</v>
      </c>
      <c r="Q615" s="666"/>
      <c r="R615" s="666"/>
      <c r="S615" s="152">
        <f t="shared" si="148"/>
        <v>70278.53</v>
      </c>
      <c r="T615" s="666"/>
      <c r="U615" s="666"/>
      <c r="V615" s="174">
        <f t="shared" si="146"/>
        <v>63866.360000000015</v>
      </c>
      <c r="W615" s="666"/>
      <c r="X615" s="666"/>
      <c r="Y615" s="152">
        <f t="shared" si="149"/>
        <v>63866.360000000015</v>
      </c>
      <c r="Z615" s="420"/>
      <c r="AA615" s="420"/>
      <c r="AB615" s="420"/>
      <c r="AC615" s="420"/>
      <c r="AD615" s="420"/>
      <c r="AE615" s="420"/>
    </row>
    <row r="616" spans="2:37" ht="30">
      <c r="B616" s="193">
        <v>37</v>
      </c>
      <c r="C616" s="216" t="s">
        <v>423</v>
      </c>
      <c r="D616" s="360" t="s">
        <v>424</v>
      </c>
      <c r="E616" s="666"/>
      <c r="F616" s="560"/>
      <c r="G616" s="558"/>
      <c r="H616" s="666"/>
      <c r="I616" s="390"/>
      <c r="J616" s="174">
        <v>56775.09</v>
      </c>
      <c r="K616" s="666"/>
      <c r="L616" s="666"/>
      <c r="M616" s="415">
        <f t="shared" si="147"/>
        <v>56775.09</v>
      </c>
      <c r="N616" s="666"/>
      <c r="O616" s="666"/>
      <c r="P616" s="174">
        <f>22222.78+8172.57+11850.99+454.61</f>
        <v>42700.95</v>
      </c>
      <c r="Q616" s="666"/>
      <c r="R616" s="666"/>
      <c r="S616" s="152">
        <f t="shared" si="148"/>
        <v>42700.95</v>
      </c>
      <c r="T616" s="666"/>
      <c r="U616" s="666"/>
      <c r="V616" s="174">
        <f t="shared" si="146"/>
        <v>14074.14</v>
      </c>
      <c r="W616" s="666"/>
      <c r="X616" s="666"/>
      <c r="Y616" s="152">
        <f t="shared" si="149"/>
        <v>14074.14</v>
      </c>
      <c r="Z616" s="420"/>
      <c r="AA616" s="420"/>
      <c r="AB616" s="420"/>
      <c r="AC616" s="420"/>
      <c r="AD616" s="420"/>
      <c r="AE616" s="420"/>
    </row>
    <row r="617" spans="2:37" ht="30">
      <c r="B617" s="193">
        <v>38</v>
      </c>
      <c r="C617" s="216" t="s">
        <v>423</v>
      </c>
      <c r="D617" s="360" t="s">
        <v>425</v>
      </c>
      <c r="E617" s="666"/>
      <c r="F617" s="560"/>
      <c r="G617" s="558"/>
      <c r="H617" s="666"/>
      <c r="I617" s="390"/>
      <c r="J617" s="174">
        <v>83966.28</v>
      </c>
      <c r="K617" s="666"/>
      <c r="L617" s="666"/>
      <c r="M617" s="415">
        <f t="shared" si="147"/>
        <v>83966.28</v>
      </c>
      <c r="N617" s="666"/>
      <c r="O617" s="666"/>
      <c r="P617" s="174">
        <f>18024.46+65941.82</f>
        <v>83966.28</v>
      </c>
      <c r="Q617" s="666"/>
      <c r="R617" s="666"/>
      <c r="S617" s="152">
        <f t="shared" si="148"/>
        <v>83966.28</v>
      </c>
      <c r="T617" s="666"/>
      <c r="U617" s="666"/>
      <c r="V617" s="174">
        <f t="shared" si="146"/>
        <v>0</v>
      </c>
      <c r="W617" s="666"/>
      <c r="X617" s="666"/>
      <c r="Y617" s="152">
        <f t="shared" si="149"/>
        <v>0</v>
      </c>
      <c r="Z617" s="420"/>
      <c r="AA617" s="420"/>
      <c r="AB617" s="420"/>
      <c r="AC617" s="420"/>
      <c r="AD617" s="420"/>
      <c r="AE617" s="420"/>
    </row>
    <row r="618" spans="2:37" ht="30">
      <c r="B618" s="348">
        <v>39</v>
      </c>
      <c r="C618" s="216" t="s">
        <v>426</v>
      </c>
      <c r="D618" s="360" t="s">
        <v>427</v>
      </c>
      <c r="E618" s="666"/>
      <c r="F618" s="560"/>
      <c r="G618" s="558"/>
      <c r="H618" s="666"/>
      <c r="I618" s="390"/>
      <c r="J618" s="174">
        <f>134279.28-53827.32</f>
        <v>80451.959999999992</v>
      </c>
      <c r="K618" s="666"/>
      <c r="L618" s="666"/>
      <c r="M618" s="415">
        <f t="shared" si="147"/>
        <v>80451.959999999992</v>
      </c>
      <c r="N618" s="666"/>
      <c r="O618" s="666"/>
      <c r="P618" s="174">
        <f>58067.6+8956.43+13427.93</f>
        <v>80451.959999999992</v>
      </c>
      <c r="Q618" s="666"/>
      <c r="R618" s="666"/>
      <c r="S618" s="152">
        <f t="shared" si="148"/>
        <v>80451.959999999992</v>
      </c>
      <c r="T618" s="666"/>
      <c r="U618" s="666"/>
      <c r="V618" s="383">
        <f t="shared" si="146"/>
        <v>0</v>
      </c>
      <c r="W618" s="666"/>
      <c r="X618" s="666"/>
      <c r="Y618" s="152">
        <f t="shared" si="149"/>
        <v>0</v>
      </c>
      <c r="Z618" s="420"/>
      <c r="AA618" s="420"/>
      <c r="AB618" s="420"/>
      <c r="AC618" s="420"/>
      <c r="AD618" s="420"/>
      <c r="AE618" s="420"/>
    </row>
    <row r="619" spans="2:37" ht="60">
      <c r="B619" s="193">
        <v>40</v>
      </c>
      <c r="C619" s="216" t="s">
        <v>428</v>
      </c>
      <c r="D619" s="360" t="s">
        <v>429</v>
      </c>
      <c r="E619" s="666"/>
      <c r="F619" s="560"/>
      <c r="G619" s="558"/>
      <c r="H619" s="666"/>
      <c r="I619" s="390"/>
      <c r="J619" s="174">
        <v>30129.96</v>
      </c>
      <c r="K619" s="666"/>
      <c r="L619" s="666"/>
      <c r="M619" s="415">
        <f t="shared" si="147"/>
        <v>30129.96</v>
      </c>
      <c r="N619" s="666"/>
      <c r="O619" s="666"/>
      <c r="P619" s="174">
        <f>12051.98+15064.98+3013</f>
        <v>30129.96</v>
      </c>
      <c r="Q619" s="666"/>
      <c r="R619" s="666"/>
      <c r="S619" s="152">
        <f t="shared" si="148"/>
        <v>30129.96</v>
      </c>
      <c r="T619" s="666"/>
      <c r="U619" s="666"/>
      <c r="V619" s="534">
        <f t="shared" si="146"/>
        <v>0</v>
      </c>
      <c r="W619" s="666"/>
      <c r="X619" s="666"/>
      <c r="Y619" s="152">
        <f t="shared" si="149"/>
        <v>0</v>
      </c>
      <c r="Z619" s="420">
        <v>0</v>
      </c>
      <c r="AA619" s="420">
        <v>0</v>
      </c>
      <c r="AB619" s="420">
        <v>30129.96</v>
      </c>
      <c r="AC619" s="420">
        <v>0</v>
      </c>
      <c r="AD619" s="420">
        <v>0</v>
      </c>
      <c r="AE619" s="420">
        <v>30129.96</v>
      </c>
    </row>
    <row r="620" spans="2:37" ht="30">
      <c r="B620" s="193">
        <v>41</v>
      </c>
      <c r="C620" s="177" t="s">
        <v>344</v>
      </c>
      <c r="D620" s="360" t="s">
        <v>345</v>
      </c>
      <c r="E620" s="666"/>
      <c r="F620" s="560"/>
      <c r="G620" s="558"/>
      <c r="H620" s="666"/>
      <c r="I620" s="390"/>
      <c r="J620" s="170">
        <v>58707.76</v>
      </c>
      <c r="K620" s="666"/>
      <c r="L620" s="666"/>
      <c r="M620" s="415">
        <f t="shared" si="147"/>
        <v>58707.76</v>
      </c>
      <c r="N620" s="666"/>
      <c r="O620" s="666"/>
      <c r="P620" s="170">
        <f>17287.5+22013.71</f>
        <v>39301.21</v>
      </c>
      <c r="Q620" s="666"/>
      <c r="R620" s="666"/>
      <c r="S620" s="152">
        <f t="shared" si="148"/>
        <v>39301.21</v>
      </c>
      <c r="T620" s="666"/>
      <c r="U620" s="666"/>
      <c r="V620" s="174">
        <f t="shared" si="146"/>
        <v>19406.550000000003</v>
      </c>
      <c r="W620" s="666"/>
      <c r="X620" s="666"/>
      <c r="Y620" s="152">
        <f t="shared" si="149"/>
        <v>19406.550000000003</v>
      </c>
      <c r="Z620" s="420"/>
      <c r="AA620" s="420"/>
      <c r="AB620" s="420"/>
      <c r="AC620" s="420"/>
      <c r="AD620" s="420"/>
      <c r="AE620" s="420"/>
    </row>
    <row r="621" spans="2:37" ht="30">
      <c r="B621" s="193">
        <v>42</v>
      </c>
      <c r="C621" s="216" t="s">
        <v>348</v>
      </c>
      <c r="D621" s="360" t="s">
        <v>823</v>
      </c>
      <c r="E621" s="666"/>
      <c r="F621" s="560"/>
      <c r="G621" s="558"/>
      <c r="H621" s="666"/>
      <c r="I621" s="390"/>
      <c r="J621" s="170">
        <v>15879.890000000001</v>
      </c>
      <c r="K621" s="666"/>
      <c r="L621" s="666"/>
      <c r="M621" s="415">
        <f t="shared" si="147"/>
        <v>15879.890000000001</v>
      </c>
      <c r="N621" s="666"/>
      <c r="O621" s="666"/>
      <c r="P621" s="170">
        <f>13117.99+1993.31+768.59</f>
        <v>15879.89</v>
      </c>
      <c r="Q621" s="666"/>
      <c r="R621" s="666"/>
      <c r="S621" s="152">
        <f t="shared" si="148"/>
        <v>15879.89</v>
      </c>
      <c r="T621" s="666"/>
      <c r="U621" s="666"/>
      <c r="V621" s="383">
        <f t="shared" si="146"/>
        <v>0</v>
      </c>
      <c r="W621" s="666"/>
      <c r="X621" s="666"/>
      <c r="Y621" s="152">
        <f t="shared" si="149"/>
        <v>0</v>
      </c>
      <c r="Z621" s="420"/>
      <c r="AA621" s="420"/>
      <c r="AB621" s="420"/>
      <c r="AC621" s="420"/>
      <c r="AD621" s="420"/>
      <c r="AE621" s="420"/>
    </row>
    <row r="622" spans="2:37" ht="30">
      <c r="B622" s="193">
        <v>43</v>
      </c>
      <c r="C622" s="220" t="s">
        <v>351</v>
      </c>
      <c r="D622" s="360" t="s">
        <v>352</v>
      </c>
      <c r="E622" s="666"/>
      <c r="F622" s="560"/>
      <c r="G622" s="558"/>
      <c r="H622" s="666"/>
      <c r="I622" s="390"/>
      <c r="J622" s="170">
        <v>976233.4</v>
      </c>
      <c r="K622" s="666"/>
      <c r="L622" s="666"/>
      <c r="M622" s="415">
        <f t="shared" si="147"/>
        <v>976233.4</v>
      </c>
      <c r="N622" s="666"/>
      <c r="O622" s="666"/>
      <c r="P622" s="170">
        <f>33090.38+94071.39+152594.78+118858.17+103748.78+136002.38+51403.02+153976.74</f>
        <v>843745.64</v>
      </c>
      <c r="Q622" s="666"/>
      <c r="R622" s="666"/>
      <c r="S622" s="152">
        <f t="shared" si="148"/>
        <v>843745.64</v>
      </c>
      <c r="T622" s="666"/>
      <c r="U622" s="666"/>
      <c r="V622" s="174">
        <f t="shared" si="146"/>
        <v>132487.76</v>
      </c>
      <c r="W622" s="666"/>
      <c r="X622" s="666"/>
      <c r="Y622" s="152">
        <f t="shared" si="149"/>
        <v>132487.76</v>
      </c>
      <c r="Z622" s="420">
        <v>0</v>
      </c>
      <c r="AA622" s="420">
        <v>0</v>
      </c>
      <c r="AB622" s="420">
        <v>976233.4</v>
      </c>
      <c r="AC622" s="420">
        <v>0</v>
      </c>
      <c r="AD622" s="420">
        <v>0</v>
      </c>
      <c r="AE622" s="420">
        <v>976233.4</v>
      </c>
    </row>
    <row r="623" spans="2:37" ht="30">
      <c r="B623" s="193">
        <v>44</v>
      </c>
      <c r="C623" s="220" t="s">
        <v>353</v>
      </c>
      <c r="D623" s="360" t="s">
        <v>354</v>
      </c>
      <c r="E623" s="666"/>
      <c r="F623" s="560"/>
      <c r="G623" s="558"/>
      <c r="H623" s="666"/>
      <c r="I623" s="390"/>
      <c r="J623" s="170">
        <v>433530.12</v>
      </c>
      <c r="K623" s="666"/>
      <c r="L623" s="666"/>
      <c r="M623" s="415">
        <f t="shared" si="147"/>
        <v>433530.12</v>
      </c>
      <c r="N623" s="666"/>
      <c r="O623" s="666"/>
      <c r="P623" s="170">
        <f>41635.36+147437.51+41635.36+16654.14+176660.55</f>
        <v>424022.92</v>
      </c>
      <c r="Q623" s="666"/>
      <c r="R623" s="666"/>
      <c r="S623" s="152">
        <f t="shared" si="148"/>
        <v>424022.92</v>
      </c>
      <c r="T623" s="666"/>
      <c r="U623" s="666"/>
      <c r="V623" s="383">
        <f t="shared" si="146"/>
        <v>9507.2000000000116</v>
      </c>
      <c r="W623" s="666"/>
      <c r="X623" s="666"/>
      <c r="Y623" s="152">
        <f t="shared" si="149"/>
        <v>9507.2000000000116</v>
      </c>
      <c r="Z623" s="420">
        <v>0</v>
      </c>
      <c r="AA623" s="420">
        <v>0</v>
      </c>
      <c r="AB623" s="420">
        <v>433530.12</v>
      </c>
      <c r="AC623" s="420">
        <v>0</v>
      </c>
      <c r="AD623" s="420">
        <v>0</v>
      </c>
      <c r="AE623" s="420">
        <v>433530.12</v>
      </c>
      <c r="AK623" s="852">
        <v>9507.2000000000116</v>
      </c>
    </row>
    <row r="624" spans="2:37" ht="45">
      <c r="B624" s="193">
        <v>45</v>
      </c>
      <c r="C624" s="220" t="s">
        <v>437</v>
      </c>
      <c r="D624" s="360" t="s">
        <v>355</v>
      </c>
      <c r="E624" s="666"/>
      <c r="F624" s="560"/>
      <c r="G624" s="558"/>
      <c r="H624" s="666"/>
      <c r="I624" s="390"/>
      <c r="J624" s="170">
        <v>64269.62</v>
      </c>
      <c r="K624" s="666"/>
      <c r="L624" s="666"/>
      <c r="M624" s="415">
        <f t="shared" si="147"/>
        <v>64269.62</v>
      </c>
      <c r="N624" s="666"/>
      <c r="O624" s="666"/>
      <c r="P624" s="170">
        <f>22947.21+34719.94+6602.47</f>
        <v>64269.62</v>
      </c>
      <c r="Q624" s="666"/>
      <c r="R624" s="666"/>
      <c r="S624" s="152">
        <f t="shared" si="148"/>
        <v>64269.62</v>
      </c>
      <c r="T624" s="666"/>
      <c r="U624" s="666"/>
      <c r="V624" s="383">
        <f t="shared" si="146"/>
        <v>0</v>
      </c>
      <c r="W624" s="666"/>
      <c r="X624" s="666"/>
      <c r="Y624" s="152">
        <f t="shared" si="149"/>
        <v>0</v>
      </c>
      <c r="Z624" s="420">
        <v>0</v>
      </c>
      <c r="AA624" s="420">
        <v>0</v>
      </c>
      <c r="AB624" s="420">
        <v>64269.62</v>
      </c>
      <c r="AC624" s="420">
        <v>0</v>
      </c>
      <c r="AD624" s="420">
        <v>0</v>
      </c>
      <c r="AE624" s="420">
        <v>64269.62</v>
      </c>
    </row>
    <row r="625" spans="2:37" ht="51" customHeight="1">
      <c r="B625" s="193">
        <v>46</v>
      </c>
      <c r="C625" s="220" t="s">
        <v>1053</v>
      </c>
      <c r="D625" s="360" t="s">
        <v>833</v>
      </c>
      <c r="E625" s="666"/>
      <c r="F625" s="640" t="s">
        <v>1358</v>
      </c>
      <c r="G625" s="781"/>
      <c r="H625" s="666"/>
      <c r="I625" s="390"/>
      <c r="J625" s="170">
        <f>275079.32+0.91+0.1+24919.67+50000+12688.54</f>
        <v>362688.53999999992</v>
      </c>
      <c r="K625" s="666"/>
      <c r="L625" s="666"/>
      <c r="M625" s="415">
        <f t="shared" si="147"/>
        <v>362688.53999999992</v>
      </c>
      <c r="N625" s="666"/>
      <c r="O625" s="666"/>
      <c r="P625" s="170">
        <f>144688.06+119079.24</f>
        <v>263767.3</v>
      </c>
      <c r="Q625" s="666"/>
      <c r="R625" s="666"/>
      <c r="S625" s="152">
        <f t="shared" si="148"/>
        <v>263767.3</v>
      </c>
      <c r="T625" s="666"/>
      <c r="U625" s="666"/>
      <c r="V625" s="174">
        <f t="shared" si="146"/>
        <v>98921.239999999932</v>
      </c>
      <c r="W625" s="666"/>
      <c r="X625" s="666"/>
      <c r="Y625" s="152">
        <f t="shared" si="149"/>
        <v>98921.239999999932</v>
      </c>
      <c r="Z625" s="420">
        <v>0</v>
      </c>
      <c r="AA625" s="420">
        <v>0</v>
      </c>
      <c r="AB625" s="420">
        <v>348409.56</v>
      </c>
      <c r="AC625" s="420">
        <v>0</v>
      </c>
      <c r="AD625" s="420">
        <v>0</v>
      </c>
      <c r="AE625" s="420">
        <v>348409.56</v>
      </c>
      <c r="AF625" s="182">
        <f>J625-AB625</f>
        <v>14278.979999999923</v>
      </c>
      <c r="AG625" s="641">
        <v>58199.59</v>
      </c>
      <c r="AI625" s="182">
        <f>AG625-AF625</f>
        <v>43920.610000000073</v>
      </c>
    </row>
    <row r="626" spans="2:37" ht="30">
      <c r="B626" s="348">
        <v>47</v>
      </c>
      <c r="C626" s="366" t="s">
        <v>834</v>
      </c>
      <c r="D626" s="360" t="s">
        <v>356</v>
      </c>
      <c r="E626" s="666"/>
      <c r="F626" s="560"/>
      <c r="G626" s="558"/>
      <c r="H626" s="666"/>
      <c r="I626" s="390"/>
      <c r="J626" s="170">
        <v>226696.81</v>
      </c>
      <c r="K626" s="666"/>
      <c r="L626" s="666"/>
      <c r="M626" s="415">
        <f t="shared" si="147"/>
        <v>226696.81</v>
      </c>
      <c r="N626" s="666"/>
      <c r="O626" s="666"/>
      <c r="P626" s="170">
        <v>226303.87</v>
      </c>
      <c r="Q626" s="666"/>
      <c r="R626" s="666"/>
      <c r="S626" s="152">
        <f t="shared" si="148"/>
        <v>226303.87</v>
      </c>
      <c r="T626" s="666"/>
      <c r="U626" s="666"/>
      <c r="V626" s="174">
        <f t="shared" si="146"/>
        <v>392.94000000000233</v>
      </c>
      <c r="W626" s="666"/>
      <c r="X626" s="666"/>
      <c r="Y626" s="152">
        <f t="shared" si="149"/>
        <v>392.94000000000233</v>
      </c>
      <c r="Z626" s="420"/>
      <c r="AA626" s="420"/>
      <c r="AB626" s="420"/>
      <c r="AC626" s="420"/>
      <c r="AD626" s="420"/>
      <c r="AE626" s="420"/>
    </row>
    <row r="627" spans="2:37" ht="105">
      <c r="B627" s="193">
        <v>48</v>
      </c>
      <c r="C627" s="175" t="s">
        <v>357</v>
      </c>
      <c r="D627" s="360" t="s">
        <v>358</v>
      </c>
      <c r="E627" s="666"/>
      <c r="F627" s="571" t="s">
        <v>1043</v>
      </c>
      <c r="G627" s="772"/>
      <c r="H627" s="666"/>
      <c r="I627" s="390"/>
      <c r="J627" s="170">
        <v>32878.01</v>
      </c>
      <c r="K627" s="666"/>
      <c r="L627" s="666"/>
      <c r="M627" s="415">
        <f t="shared" si="147"/>
        <v>32878.01</v>
      </c>
      <c r="N627" s="666"/>
      <c r="O627" s="666"/>
      <c r="P627" s="170">
        <v>9150.08</v>
      </c>
      <c r="Q627" s="666"/>
      <c r="R627" s="666"/>
      <c r="S627" s="420">
        <f t="shared" si="148"/>
        <v>9150.08</v>
      </c>
      <c r="T627" s="666"/>
      <c r="U627" s="666"/>
      <c r="V627" s="534">
        <f t="shared" si="146"/>
        <v>23727.93</v>
      </c>
      <c r="W627" s="666"/>
      <c r="X627" s="666"/>
      <c r="Y627" s="152">
        <f t="shared" si="149"/>
        <v>23727.93</v>
      </c>
      <c r="Z627" s="420">
        <v>0</v>
      </c>
      <c r="AA627" s="420">
        <v>106867.43</v>
      </c>
      <c r="AB627" s="420">
        <f>235770+9150.08</f>
        <v>244920.08</v>
      </c>
      <c r="AC627" s="420">
        <v>235770</v>
      </c>
      <c r="AD627" s="420">
        <v>0</v>
      </c>
      <c r="AE627" s="420">
        <f>SUM(Z627:AD627)</f>
        <v>587557.51</v>
      </c>
      <c r="AK627" s="852">
        <v>23727.93</v>
      </c>
    </row>
    <row r="628" spans="2:37" ht="75">
      <c r="B628" s="193">
        <v>49</v>
      </c>
      <c r="C628" s="159" t="s">
        <v>151</v>
      </c>
      <c r="D628" s="401" t="s">
        <v>824</v>
      </c>
      <c r="E628" s="672" t="s">
        <v>1411</v>
      </c>
      <c r="F628" s="560"/>
      <c r="G628" s="558"/>
      <c r="H628" s="666"/>
      <c r="I628" s="390"/>
      <c r="J628" s="170">
        <f>136195.66</f>
        <v>136195.66</v>
      </c>
      <c r="K628" s="666"/>
      <c r="L628" s="666"/>
      <c r="M628" s="415">
        <f t="shared" si="147"/>
        <v>136195.66</v>
      </c>
      <c r="N628" s="666"/>
      <c r="O628" s="666"/>
      <c r="P628" s="170">
        <v>60338.68</v>
      </c>
      <c r="Q628" s="666"/>
      <c r="R628" s="666"/>
      <c r="S628" s="152">
        <f t="shared" si="148"/>
        <v>60338.68</v>
      </c>
      <c r="T628" s="666"/>
      <c r="U628" s="666"/>
      <c r="V628" s="383">
        <f t="shared" si="146"/>
        <v>75856.98000000001</v>
      </c>
      <c r="W628" s="666"/>
      <c r="X628" s="666"/>
      <c r="Y628" s="152">
        <f t="shared" si="149"/>
        <v>75856.98000000001</v>
      </c>
      <c r="Z628" s="420">
        <f>1294919.25+102496.76+119582.85</f>
        <v>1516998.86</v>
      </c>
      <c r="AA628" s="420">
        <v>143601.60000000001</v>
      </c>
      <c r="AB628" s="420">
        <v>136195.66</v>
      </c>
      <c r="AC628" s="420">
        <v>1100000</v>
      </c>
      <c r="AD628" s="420">
        <v>0</v>
      </c>
      <c r="AE628" s="420">
        <f>SUM(Z628:AD628)</f>
        <v>2896796.12</v>
      </c>
      <c r="AK628" s="852">
        <v>75856.98000000001</v>
      </c>
    </row>
    <row r="629" spans="2:37" ht="30">
      <c r="B629" s="193">
        <v>50</v>
      </c>
      <c r="C629" s="176" t="s">
        <v>393</v>
      </c>
      <c r="D629" s="364" t="s">
        <v>394</v>
      </c>
      <c r="E629" s="666"/>
      <c r="F629" s="423" t="s">
        <v>847</v>
      </c>
      <c r="G629" s="762"/>
      <c r="H629" s="666"/>
      <c r="I629" s="390"/>
      <c r="J629" s="170">
        <v>32834.85</v>
      </c>
      <c r="K629" s="666"/>
      <c r="L629" s="666"/>
      <c r="M629" s="415">
        <f t="shared" si="147"/>
        <v>32834.85</v>
      </c>
      <c r="N629" s="666"/>
      <c r="O629" s="666"/>
      <c r="P629" s="170">
        <v>32834.85</v>
      </c>
      <c r="Q629" s="666"/>
      <c r="R629" s="666"/>
      <c r="S629" s="152">
        <f t="shared" si="148"/>
        <v>32834.85</v>
      </c>
      <c r="T629" s="666"/>
      <c r="U629" s="666"/>
      <c r="V629" s="383">
        <f t="shared" si="146"/>
        <v>0</v>
      </c>
      <c r="W629" s="666"/>
      <c r="X629" s="666"/>
      <c r="Y629" s="152">
        <f t="shared" si="149"/>
        <v>0</v>
      </c>
      <c r="Z629" s="420">
        <v>0</v>
      </c>
      <c r="AA629" s="420">
        <v>4772.0200000000004</v>
      </c>
      <c r="AB629" s="420">
        <f>1166820.42+32834.85</f>
        <v>1199655.27</v>
      </c>
      <c r="AC629" s="420">
        <v>0</v>
      </c>
      <c r="AD629" s="420">
        <v>0</v>
      </c>
      <c r="AE629" s="420">
        <f>SUM(Z629:AD629)</f>
        <v>1204427.29</v>
      </c>
    </row>
    <row r="630" spans="2:37" ht="30">
      <c r="B630" s="193">
        <v>51</v>
      </c>
      <c r="C630" s="348" t="s">
        <v>284</v>
      </c>
      <c r="D630" s="160" t="s">
        <v>285</v>
      </c>
      <c r="E630" s="666"/>
      <c r="F630" s="423"/>
      <c r="G630" s="762"/>
      <c r="H630" s="666"/>
      <c r="I630" s="390"/>
      <c r="J630" s="170">
        <v>9967057.75</v>
      </c>
      <c r="K630" s="666"/>
      <c r="L630" s="666"/>
      <c r="M630" s="415">
        <f t="shared" si="147"/>
        <v>9967057.75</v>
      </c>
      <c r="N630" s="666"/>
      <c r="O630" s="666"/>
      <c r="P630" s="170">
        <f>1787235.14+1677323.17</f>
        <v>3464558.3099999996</v>
      </c>
      <c r="Q630" s="666"/>
      <c r="R630" s="666"/>
      <c r="S630" s="152">
        <f>SUM(N630:R630)</f>
        <v>3464558.3099999996</v>
      </c>
      <c r="T630" s="666"/>
      <c r="U630" s="666"/>
      <c r="V630" s="174">
        <f>+J630-P630</f>
        <v>6502499.4400000004</v>
      </c>
      <c r="W630" s="666"/>
      <c r="X630" s="666"/>
      <c r="Y630" s="152">
        <f t="shared" si="149"/>
        <v>6502499.4400000004</v>
      </c>
      <c r="Z630" s="420"/>
      <c r="AA630" s="420"/>
      <c r="AB630" s="420"/>
      <c r="AC630" s="420"/>
      <c r="AD630" s="420"/>
      <c r="AE630" s="420"/>
    </row>
    <row r="631" spans="2:37" ht="30">
      <c r="B631" s="193">
        <v>52</v>
      </c>
      <c r="C631" s="172" t="s">
        <v>820</v>
      </c>
      <c r="D631" s="171" t="s">
        <v>821</v>
      </c>
      <c r="E631" s="666"/>
      <c r="F631" s="423"/>
      <c r="G631" s="762"/>
      <c r="H631" s="666"/>
      <c r="I631" s="390"/>
      <c r="J631" s="170">
        <v>1873728.2</v>
      </c>
      <c r="K631" s="666"/>
      <c r="L631" s="666"/>
      <c r="M631" s="415">
        <f t="shared" si="147"/>
        <v>1873728.2</v>
      </c>
      <c r="N631" s="666"/>
      <c r="O631" s="666"/>
      <c r="P631" s="170">
        <v>0</v>
      </c>
      <c r="Q631" s="666"/>
      <c r="R631" s="666"/>
      <c r="S631" s="152">
        <f t="shared" ref="S631:S644" si="150">SUM(N631:R631)</f>
        <v>0</v>
      </c>
      <c r="T631" s="666"/>
      <c r="U631" s="666"/>
      <c r="V631" s="174">
        <f t="shared" ref="V631:V634" si="151">+J631-P631</f>
        <v>1873728.2</v>
      </c>
      <c r="W631" s="666"/>
      <c r="X631" s="666"/>
      <c r="Y631" s="152"/>
      <c r="Z631" s="420">
        <f>1873728.2-1873728.2</f>
        <v>0</v>
      </c>
      <c r="AA631" s="420">
        <f>1873728.2-1873728.2</f>
        <v>0</v>
      </c>
      <c r="AB631" s="420">
        <f>12616920.59+1873728.2</f>
        <v>14490648.789999999</v>
      </c>
      <c r="AC631" s="420">
        <f>7500000+3500000</f>
        <v>11000000</v>
      </c>
      <c r="AD631" s="420">
        <v>0</v>
      </c>
      <c r="AE631" s="420">
        <f>SUM(AA631+AB631+AC631)</f>
        <v>25490648.789999999</v>
      </c>
    </row>
    <row r="632" spans="2:37" ht="45">
      <c r="B632" s="193">
        <v>53</v>
      </c>
      <c r="C632" s="172" t="s">
        <v>855</v>
      </c>
      <c r="D632" s="171" t="s">
        <v>822</v>
      </c>
      <c r="E632" s="666"/>
      <c r="F632" s="812" t="s">
        <v>1480</v>
      </c>
      <c r="G632" s="762"/>
      <c r="H632" s="666"/>
      <c r="I632" s="390"/>
      <c r="J632" s="170">
        <v>640821.17000000004</v>
      </c>
      <c r="K632" s="666"/>
      <c r="L632" s="666"/>
      <c r="M632" s="415">
        <f t="shared" si="147"/>
        <v>640821.17000000004</v>
      </c>
      <c r="N632" s="666"/>
      <c r="O632" s="666"/>
      <c r="P632" s="170">
        <v>276193.68</v>
      </c>
      <c r="Q632" s="666"/>
      <c r="R632" s="666"/>
      <c r="S632" s="152">
        <f t="shared" si="150"/>
        <v>276193.68</v>
      </c>
      <c r="T632" s="666"/>
      <c r="U632" s="666"/>
      <c r="V632" s="174">
        <f t="shared" si="151"/>
        <v>364627.49000000005</v>
      </c>
      <c r="W632" s="666"/>
      <c r="X632" s="666"/>
      <c r="Y632" s="152"/>
      <c r="Z632" s="420"/>
      <c r="AA632" s="420"/>
      <c r="AB632" s="420"/>
      <c r="AC632" s="420"/>
      <c r="AD632" s="420"/>
      <c r="AE632" s="420"/>
    </row>
    <row r="633" spans="2:37" ht="30">
      <c r="B633" s="193">
        <v>54</v>
      </c>
      <c r="C633" s="439" t="s">
        <v>897</v>
      </c>
      <c r="D633" s="171" t="s">
        <v>286</v>
      </c>
      <c r="E633" s="666"/>
      <c r="F633" s="423"/>
      <c r="G633" s="762"/>
      <c r="H633" s="666"/>
      <c r="I633" s="390"/>
      <c r="J633" s="170">
        <v>934380.74</v>
      </c>
      <c r="K633" s="666"/>
      <c r="L633" s="666"/>
      <c r="M633" s="415">
        <f t="shared" si="147"/>
        <v>934380.74</v>
      </c>
      <c r="N633" s="666"/>
      <c r="O633" s="666"/>
      <c r="P633" s="170"/>
      <c r="Q633" s="666"/>
      <c r="R633" s="666"/>
      <c r="S633" s="152">
        <f t="shared" si="150"/>
        <v>0</v>
      </c>
      <c r="T633" s="666"/>
      <c r="U633" s="666"/>
      <c r="V633" s="174">
        <f t="shared" si="151"/>
        <v>934380.74</v>
      </c>
      <c r="W633" s="666"/>
      <c r="X633" s="666"/>
      <c r="Y633" s="152"/>
      <c r="Z633" s="420"/>
      <c r="AA633" s="420"/>
      <c r="AB633" s="420"/>
      <c r="AC633" s="420"/>
      <c r="AD633" s="420"/>
      <c r="AE633" s="420"/>
    </row>
    <row r="634" spans="2:37" ht="30">
      <c r="B634" s="193">
        <v>55</v>
      </c>
      <c r="C634" s="172" t="s">
        <v>333</v>
      </c>
      <c r="D634" s="171" t="s">
        <v>334</v>
      </c>
      <c r="E634" s="666"/>
      <c r="F634" s="423"/>
      <c r="G634" s="762"/>
      <c r="H634" s="666"/>
      <c r="I634" s="390"/>
      <c r="J634" s="170">
        <v>174823.49</v>
      </c>
      <c r="K634" s="666"/>
      <c r="L634" s="666"/>
      <c r="M634" s="415">
        <f t="shared" si="147"/>
        <v>174823.49</v>
      </c>
      <c r="N634" s="666"/>
      <c r="O634" s="666"/>
      <c r="P634" s="170">
        <v>0</v>
      </c>
      <c r="Q634" s="666"/>
      <c r="R634" s="666"/>
      <c r="S634" s="152">
        <f t="shared" si="150"/>
        <v>0</v>
      </c>
      <c r="T634" s="666"/>
      <c r="U634" s="666"/>
      <c r="V634" s="174">
        <f t="shared" si="151"/>
        <v>174823.49</v>
      </c>
      <c r="W634" s="666"/>
      <c r="X634" s="666"/>
      <c r="Y634" s="152"/>
      <c r="Z634" s="420"/>
      <c r="AA634" s="420"/>
      <c r="AB634" s="420"/>
      <c r="AC634" s="420"/>
      <c r="AD634" s="420"/>
      <c r="AE634" s="420"/>
    </row>
    <row r="635" spans="2:37" ht="45">
      <c r="B635" s="193">
        <v>56</v>
      </c>
      <c r="C635" s="247" t="s">
        <v>1359</v>
      </c>
      <c r="D635" s="171" t="s">
        <v>288</v>
      </c>
      <c r="E635" s="666"/>
      <c r="F635" s="642" t="s">
        <v>1360</v>
      </c>
      <c r="G635" s="782"/>
      <c r="H635" s="666"/>
      <c r="I635" s="390"/>
      <c r="J635" s="170">
        <v>439019.61</v>
      </c>
      <c r="K635" s="666"/>
      <c r="L635" s="666"/>
      <c r="M635" s="415">
        <f t="shared" ref="M635" si="152">SUM(H635:L635)</f>
        <v>439019.61</v>
      </c>
      <c r="N635" s="666"/>
      <c r="O635" s="666"/>
      <c r="P635" s="170"/>
      <c r="Q635" s="666"/>
      <c r="R635" s="666"/>
      <c r="S635" s="152">
        <f t="shared" si="150"/>
        <v>0</v>
      </c>
      <c r="T635" s="666"/>
      <c r="U635" s="666"/>
      <c r="V635" s="383"/>
      <c r="W635" s="666"/>
      <c r="X635" s="666"/>
      <c r="Y635" s="152"/>
      <c r="Z635" s="420">
        <v>0</v>
      </c>
      <c r="AA635" s="420">
        <v>1000000</v>
      </c>
      <c r="AB635" s="420">
        <f>439019.61+59165.71</f>
        <v>498185.32</v>
      </c>
      <c r="AC635" s="420">
        <v>0</v>
      </c>
      <c r="AD635" s="420">
        <v>0</v>
      </c>
      <c r="AE635" s="420">
        <f>SUM(Z635:AD635)</f>
        <v>1498185.32</v>
      </c>
    </row>
    <row r="636" spans="2:37" ht="30">
      <c r="B636" s="193">
        <v>57</v>
      </c>
      <c r="C636" s="172" t="s">
        <v>271</v>
      </c>
      <c r="D636" s="171" t="s">
        <v>335</v>
      </c>
      <c r="E636" s="666"/>
      <c r="F636" s="423"/>
      <c r="G636" s="762"/>
      <c r="H636" s="666"/>
      <c r="I636" s="390"/>
      <c r="J636" s="170">
        <v>116.12</v>
      </c>
      <c r="K636" s="666"/>
      <c r="L636" s="666"/>
      <c r="M636" s="415"/>
      <c r="N636" s="666"/>
      <c r="O636" s="666"/>
      <c r="P636" s="170"/>
      <c r="Q636" s="666"/>
      <c r="R636" s="666"/>
      <c r="S636" s="152">
        <f t="shared" si="150"/>
        <v>0</v>
      </c>
      <c r="T636" s="666"/>
      <c r="U636" s="666"/>
      <c r="V636" s="383"/>
      <c r="W636" s="666"/>
      <c r="X636" s="666"/>
      <c r="Y636" s="152"/>
      <c r="Z636" s="420"/>
      <c r="AA636" s="420"/>
      <c r="AB636" s="420"/>
      <c r="AC636" s="420"/>
      <c r="AD636" s="420"/>
      <c r="AE636" s="420"/>
    </row>
    <row r="637" spans="2:37" ht="75">
      <c r="B637" s="193">
        <v>57.1</v>
      </c>
      <c r="C637" s="172" t="s">
        <v>1255</v>
      </c>
      <c r="D637" s="171" t="s">
        <v>1256</v>
      </c>
      <c r="E637" s="666"/>
      <c r="F637" s="423"/>
      <c r="G637" s="762"/>
      <c r="H637" s="666"/>
      <c r="I637" s="390"/>
      <c r="J637" s="170">
        <v>701800</v>
      </c>
      <c r="K637" s="666"/>
      <c r="L637" s="666"/>
      <c r="M637" s="415"/>
      <c r="N637" s="666"/>
      <c r="O637" s="666"/>
      <c r="P637" s="170">
        <v>630808.53</v>
      </c>
      <c r="Q637" s="666"/>
      <c r="R637" s="666"/>
      <c r="S637" s="152">
        <f t="shared" si="150"/>
        <v>630808.53</v>
      </c>
      <c r="T637" s="666"/>
      <c r="U637" s="666"/>
      <c r="V637" s="174">
        <f>+J637-P637</f>
        <v>70991.469999999972</v>
      </c>
      <c r="W637" s="666"/>
      <c r="X637" s="666"/>
      <c r="Y637" s="152"/>
      <c r="Z637" s="420"/>
      <c r="AA637" s="420"/>
      <c r="AB637" s="420"/>
      <c r="AC637" s="420"/>
      <c r="AD637" s="420"/>
      <c r="AE637" s="420"/>
    </row>
    <row r="638" spans="2:37" ht="60">
      <c r="B638" s="193">
        <v>57.2</v>
      </c>
      <c r="C638" s="172" t="s">
        <v>1257</v>
      </c>
      <c r="D638" s="171" t="s">
        <v>1258</v>
      </c>
      <c r="E638" s="666"/>
      <c r="F638" s="423"/>
      <c r="G638" s="762"/>
      <c r="H638" s="666"/>
      <c r="I638" s="390"/>
      <c r="J638" s="170">
        <v>199996.6</v>
      </c>
      <c r="K638" s="666"/>
      <c r="L638" s="666"/>
      <c r="M638" s="415"/>
      <c r="N638" s="666"/>
      <c r="O638" s="666"/>
      <c r="P638" s="170">
        <v>150751.69</v>
      </c>
      <c r="Q638" s="666"/>
      <c r="R638" s="666"/>
      <c r="S638" s="152">
        <f t="shared" si="150"/>
        <v>150751.69</v>
      </c>
      <c r="T638" s="666"/>
      <c r="U638" s="666"/>
      <c r="V638" s="174">
        <f t="shared" ref="V638:V680" si="153">+J638-P638</f>
        <v>49244.91</v>
      </c>
      <c r="W638" s="666"/>
      <c r="X638" s="666"/>
      <c r="Y638" s="152"/>
      <c r="Z638" s="420"/>
      <c r="AA638" s="420"/>
      <c r="AB638" s="420"/>
      <c r="AC638" s="420"/>
      <c r="AD638" s="420"/>
      <c r="AE638" s="420"/>
    </row>
    <row r="639" spans="2:37" ht="60">
      <c r="B639" s="193">
        <v>57.3</v>
      </c>
      <c r="C639" s="172" t="s">
        <v>1259</v>
      </c>
      <c r="D639" s="171" t="s">
        <v>1260</v>
      </c>
      <c r="E639" s="666"/>
      <c r="F639" s="423"/>
      <c r="G639" s="762"/>
      <c r="H639" s="666"/>
      <c r="I639" s="390"/>
      <c r="J639" s="170">
        <v>279989.87</v>
      </c>
      <c r="K639" s="666"/>
      <c r="L639" s="666"/>
      <c r="M639" s="415"/>
      <c r="N639" s="666"/>
      <c r="O639" s="666"/>
      <c r="P639" s="170">
        <v>279989.89</v>
      </c>
      <c r="Q639" s="666"/>
      <c r="R639" s="666"/>
      <c r="S639" s="152">
        <f t="shared" si="150"/>
        <v>279989.89</v>
      </c>
      <c r="T639" s="666"/>
      <c r="U639" s="666"/>
      <c r="V639" s="174">
        <f t="shared" si="153"/>
        <v>-2.0000000018626451E-2</v>
      </c>
      <c r="W639" s="666"/>
      <c r="X639" s="666"/>
      <c r="Y639" s="152"/>
      <c r="Z639" s="420"/>
      <c r="AA639" s="420"/>
      <c r="AB639" s="420"/>
      <c r="AC639" s="420"/>
      <c r="AD639" s="420"/>
      <c r="AE639" s="420"/>
    </row>
    <row r="640" spans="2:37" ht="60">
      <c r="B640" s="193">
        <v>57.4</v>
      </c>
      <c r="C640" s="172" t="s">
        <v>1261</v>
      </c>
      <c r="D640" s="171" t="s">
        <v>1262</v>
      </c>
      <c r="E640" s="666"/>
      <c r="F640" s="423"/>
      <c r="G640" s="762"/>
      <c r="H640" s="666"/>
      <c r="I640" s="390"/>
      <c r="J640" s="170">
        <v>501463.16</v>
      </c>
      <c r="K640" s="666"/>
      <c r="L640" s="666"/>
      <c r="M640" s="415"/>
      <c r="N640" s="666"/>
      <c r="O640" s="666"/>
      <c r="P640" s="170">
        <v>406940.23</v>
      </c>
      <c r="Q640" s="666"/>
      <c r="R640" s="666"/>
      <c r="S640" s="152">
        <f t="shared" si="150"/>
        <v>406940.23</v>
      </c>
      <c r="T640" s="666"/>
      <c r="U640" s="666"/>
      <c r="V640" s="174">
        <f t="shared" si="153"/>
        <v>94522.93</v>
      </c>
      <c r="W640" s="666"/>
      <c r="X640" s="666"/>
      <c r="Y640" s="152"/>
      <c r="Z640" s="420"/>
      <c r="AA640" s="420"/>
      <c r="AB640" s="420"/>
      <c r="AC640" s="420"/>
      <c r="AD640" s="420"/>
      <c r="AE640" s="420"/>
    </row>
    <row r="641" spans="2:31" ht="60">
      <c r="B641" s="193">
        <v>57.5</v>
      </c>
      <c r="C641" s="172" t="s">
        <v>1263</v>
      </c>
      <c r="D641" s="171" t="s">
        <v>1264</v>
      </c>
      <c r="E641" s="666"/>
      <c r="F641" s="423"/>
      <c r="G641" s="762"/>
      <c r="H641" s="666"/>
      <c r="I641" s="390"/>
      <c r="J641" s="170">
        <v>168514.81</v>
      </c>
      <c r="K641" s="666"/>
      <c r="L641" s="666"/>
      <c r="M641" s="415"/>
      <c r="N641" s="666"/>
      <c r="O641" s="666"/>
      <c r="P641" s="170">
        <v>128144.32000000001</v>
      </c>
      <c r="Q641" s="666"/>
      <c r="R641" s="666"/>
      <c r="S641" s="152">
        <f t="shared" si="150"/>
        <v>128144.32000000001</v>
      </c>
      <c r="T641" s="666"/>
      <c r="U641" s="666"/>
      <c r="V641" s="174">
        <f t="shared" si="153"/>
        <v>40370.489999999991</v>
      </c>
      <c r="W641" s="666"/>
      <c r="X641" s="666"/>
      <c r="Y641" s="152"/>
      <c r="Z641" s="420"/>
      <c r="AA641" s="420"/>
      <c r="AB641" s="420"/>
      <c r="AC641" s="420"/>
      <c r="AD641" s="420"/>
      <c r="AE641" s="420"/>
    </row>
    <row r="642" spans="2:31" ht="60">
      <c r="B642" s="193">
        <v>57.6</v>
      </c>
      <c r="C642" s="172" t="s">
        <v>1265</v>
      </c>
      <c r="D642" s="171" t="s">
        <v>1266</v>
      </c>
      <c r="E642" s="666"/>
      <c r="F642" s="423"/>
      <c r="G642" s="762"/>
      <c r="H642" s="666"/>
      <c r="I642" s="390"/>
      <c r="J642" s="170">
        <v>64400.49</v>
      </c>
      <c r="K642" s="666"/>
      <c r="L642" s="666"/>
      <c r="M642" s="415"/>
      <c r="N642" s="666"/>
      <c r="O642" s="666"/>
      <c r="P642" s="170">
        <v>57368.67</v>
      </c>
      <c r="Q642" s="666"/>
      <c r="R642" s="666"/>
      <c r="S642" s="152">
        <f t="shared" si="150"/>
        <v>57368.67</v>
      </c>
      <c r="T642" s="666"/>
      <c r="U642" s="666"/>
      <c r="V642" s="174">
        <f t="shared" si="153"/>
        <v>7031.82</v>
      </c>
      <c r="W642" s="666"/>
      <c r="X642" s="666"/>
      <c r="Y642" s="152"/>
      <c r="Z642" s="420"/>
      <c r="AA642" s="420"/>
      <c r="AB642" s="420"/>
      <c r="AC642" s="420"/>
      <c r="AD642" s="420"/>
      <c r="AE642" s="420"/>
    </row>
    <row r="643" spans="2:31" ht="60">
      <c r="B643" s="193">
        <v>57.7</v>
      </c>
      <c r="C643" s="172" t="s">
        <v>1267</v>
      </c>
      <c r="D643" s="171" t="s">
        <v>1266</v>
      </c>
      <c r="E643" s="666"/>
      <c r="F643" s="423"/>
      <c r="G643" s="762"/>
      <c r="H643" s="666"/>
      <c r="I643" s="390"/>
      <c r="J643" s="170">
        <v>128182.38</v>
      </c>
      <c r="K643" s="666"/>
      <c r="L643" s="666"/>
      <c r="M643" s="415"/>
      <c r="N643" s="666"/>
      <c r="O643" s="666"/>
      <c r="P643" s="170">
        <v>60463.97</v>
      </c>
      <c r="Q643" s="666"/>
      <c r="R643" s="666"/>
      <c r="S643" s="152">
        <f t="shared" si="150"/>
        <v>60463.97</v>
      </c>
      <c r="T643" s="666"/>
      <c r="U643" s="666"/>
      <c r="V643" s="174">
        <f t="shared" si="153"/>
        <v>67718.41</v>
      </c>
      <c r="W643" s="666"/>
      <c r="X643" s="666"/>
      <c r="Y643" s="152"/>
      <c r="Z643" s="420"/>
      <c r="AA643" s="420"/>
      <c r="AB643" s="420"/>
      <c r="AC643" s="420"/>
      <c r="AD643" s="420"/>
      <c r="AE643" s="420"/>
    </row>
    <row r="644" spans="2:31" ht="30">
      <c r="B644" s="193">
        <v>57.8</v>
      </c>
      <c r="C644" s="172" t="s">
        <v>1268</v>
      </c>
      <c r="D644" s="171" t="s">
        <v>1269</v>
      </c>
      <c r="E644" s="666"/>
      <c r="F644" s="423"/>
      <c r="G644" s="762"/>
      <c r="H644" s="666"/>
      <c r="I644" s="390"/>
      <c r="J644" s="170">
        <v>378542.5</v>
      </c>
      <c r="K644" s="666"/>
      <c r="L644" s="666"/>
      <c r="M644" s="415"/>
      <c r="N644" s="666"/>
      <c r="O644" s="666"/>
      <c r="P644" s="170"/>
      <c r="Q644" s="666"/>
      <c r="R644" s="666"/>
      <c r="S644" s="152">
        <f t="shared" si="150"/>
        <v>0</v>
      </c>
      <c r="T644" s="666"/>
      <c r="U644" s="666"/>
      <c r="V644" s="174">
        <f t="shared" si="153"/>
        <v>378542.5</v>
      </c>
      <c r="W644" s="666"/>
      <c r="X644" s="666"/>
      <c r="Y644" s="152"/>
      <c r="Z644" s="420"/>
      <c r="AA644" s="420"/>
      <c r="AB644" s="420"/>
      <c r="AC644" s="420"/>
      <c r="AD644" s="420"/>
      <c r="AE644" s="420"/>
    </row>
    <row r="645" spans="2:31" ht="409.5">
      <c r="B645" s="193">
        <v>57.9</v>
      </c>
      <c r="C645" s="172" t="s">
        <v>1270</v>
      </c>
      <c r="D645" s="171" t="s">
        <v>1208</v>
      </c>
      <c r="E645" s="666"/>
      <c r="F645" s="423"/>
      <c r="G645" s="762"/>
      <c r="H645" s="666"/>
      <c r="I645" s="390"/>
      <c r="J645" s="170">
        <v>368252.71</v>
      </c>
      <c r="K645" s="666"/>
      <c r="L645" s="666"/>
      <c r="M645" s="415"/>
      <c r="N645" s="666"/>
      <c r="O645" s="666"/>
      <c r="P645" s="170"/>
      <c r="Q645" s="666"/>
      <c r="R645" s="666"/>
      <c r="S645" s="152"/>
      <c r="T645" s="666"/>
      <c r="U645" s="666"/>
      <c r="V645" s="174">
        <f t="shared" si="153"/>
        <v>368252.71</v>
      </c>
      <c r="W645" s="666"/>
      <c r="X645" s="666"/>
      <c r="Y645" s="152"/>
      <c r="Z645" s="420"/>
      <c r="AA645" s="420"/>
      <c r="AB645" s="420"/>
      <c r="AC645" s="420"/>
      <c r="AD645" s="420"/>
      <c r="AE645" s="420"/>
    </row>
    <row r="646" spans="2:31" ht="45">
      <c r="B646" s="193" t="s">
        <v>1271</v>
      </c>
      <c r="C646" s="172" t="s">
        <v>1268</v>
      </c>
      <c r="D646" s="171" t="s">
        <v>1272</v>
      </c>
      <c r="E646" s="666"/>
      <c r="F646" s="423"/>
      <c r="G646" s="762"/>
      <c r="H646" s="666"/>
      <c r="I646" s="390"/>
      <c r="J646" s="170">
        <v>192527.15</v>
      </c>
      <c r="K646" s="666"/>
      <c r="L646" s="666"/>
      <c r="M646" s="415"/>
      <c r="N646" s="666"/>
      <c r="O646" s="666"/>
      <c r="P646" s="170"/>
      <c r="Q646" s="666"/>
      <c r="R646" s="666"/>
      <c r="S646" s="152"/>
      <c r="T646" s="666"/>
      <c r="U646" s="666"/>
      <c r="V646" s="174">
        <f t="shared" si="153"/>
        <v>192527.15</v>
      </c>
      <c r="W646" s="666"/>
      <c r="X646" s="666"/>
      <c r="Y646" s="152"/>
      <c r="Z646" s="420"/>
      <c r="AA646" s="420"/>
      <c r="AB646" s="420"/>
      <c r="AC646" s="420"/>
      <c r="AD646" s="420"/>
      <c r="AE646" s="420"/>
    </row>
    <row r="647" spans="2:31" ht="105">
      <c r="B647" s="193">
        <v>57.11</v>
      </c>
      <c r="C647" s="172" t="s">
        <v>1273</v>
      </c>
      <c r="D647" s="171" t="s">
        <v>1274</v>
      </c>
      <c r="E647" s="666"/>
      <c r="F647" s="423"/>
      <c r="G647" s="762"/>
      <c r="H647" s="666"/>
      <c r="I647" s="390"/>
      <c r="J647" s="170">
        <v>136383.78</v>
      </c>
      <c r="K647" s="666"/>
      <c r="L647" s="666"/>
      <c r="M647" s="415"/>
      <c r="N647" s="666"/>
      <c r="O647" s="666"/>
      <c r="P647" s="170"/>
      <c r="Q647" s="666"/>
      <c r="R647" s="666"/>
      <c r="S647" s="152"/>
      <c r="T647" s="666"/>
      <c r="U647" s="666"/>
      <c r="V647" s="174">
        <f t="shared" si="153"/>
        <v>136383.78</v>
      </c>
      <c r="W647" s="666"/>
      <c r="X647" s="666"/>
      <c r="Y647" s="152"/>
      <c r="Z647" s="420"/>
      <c r="AA647" s="420"/>
      <c r="AB647" s="420"/>
      <c r="AC647" s="420"/>
      <c r="AD647" s="420"/>
      <c r="AE647" s="420"/>
    </row>
    <row r="648" spans="2:31" ht="60">
      <c r="B648" s="193">
        <v>57.12</v>
      </c>
      <c r="C648" s="172" t="s">
        <v>1275</v>
      </c>
      <c r="D648" s="171" t="s">
        <v>1276</v>
      </c>
      <c r="E648" s="666"/>
      <c r="F648" s="423"/>
      <c r="G648" s="762"/>
      <c r="H648" s="666"/>
      <c r="I648" s="390"/>
      <c r="J648" s="170">
        <v>165045.38</v>
      </c>
      <c r="K648" s="666"/>
      <c r="L648" s="666"/>
      <c r="M648" s="415"/>
      <c r="N648" s="666"/>
      <c r="O648" s="666"/>
      <c r="P648" s="170"/>
      <c r="Q648" s="666"/>
      <c r="R648" s="666"/>
      <c r="S648" s="152"/>
      <c r="T648" s="666"/>
      <c r="U648" s="666"/>
      <c r="V648" s="174">
        <f t="shared" si="153"/>
        <v>165045.38</v>
      </c>
      <c r="W648" s="666"/>
      <c r="X648" s="666"/>
      <c r="Y648" s="152"/>
      <c r="Z648" s="420"/>
      <c r="AA648" s="420"/>
      <c r="AB648" s="420"/>
      <c r="AC648" s="420"/>
      <c r="AD648" s="420"/>
      <c r="AE648" s="420"/>
    </row>
    <row r="649" spans="2:31" ht="150">
      <c r="B649" s="193">
        <v>57.13</v>
      </c>
      <c r="C649" s="172" t="s">
        <v>1277</v>
      </c>
      <c r="D649" s="171" t="s">
        <v>1278</v>
      </c>
      <c r="E649" s="666"/>
      <c r="F649" s="423"/>
      <c r="G649" s="762"/>
      <c r="H649" s="666"/>
      <c r="I649" s="390"/>
      <c r="J649" s="170">
        <v>115673.5</v>
      </c>
      <c r="K649" s="666"/>
      <c r="L649" s="666"/>
      <c r="M649" s="415"/>
      <c r="N649" s="666"/>
      <c r="O649" s="666"/>
      <c r="P649" s="170"/>
      <c r="Q649" s="666"/>
      <c r="R649" s="666"/>
      <c r="S649" s="152"/>
      <c r="T649" s="666"/>
      <c r="U649" s="666"/>
      <c r="V649" s="174">
        <f t="shared" si="153"/>
        <v>115673.5</v>
      </c>
      <c r="W649" s="666"/>
      <c r="X649" s="666"/>
      <c r="Y649" s="152"/>
      <c r="Z649" s="420"/>
      <c r="AA649" s="420"/>
      <c r="AB649" s="420"/>
      <c r="AC649" s="420"/>
      <c r="AD649" s="420"/>
      <c r="AE649" s="420"/>
    </row>
    <row r="650" spans="2:31" ht="90">
      <c r="B650" s="193">
        <v>57.14</v>
      </c>
      <c r="C650" s="172" t="s">
        <v>1279</v>
      </c>
      <c r="D650" s="171" t="s">
        <v>1280</v>
      </c>
      <c r="E650" s="666"/>
      <c r="F650" s="423"/>
      <c r="G650" s="762"/>
      <c r="H650" s="666"/>
      <c r="I650" s="390"/>
      <c r="J650" s="170">
        <v>329612.68</v>
      </c>
      <c r="K650" s="666"/>
      <c r="L650" s="666"/>
      <c r="M650" s="415"/>
      <c r="N650" s="666"/>
      <c r="O650" s="666"/>
      <c r="P650" s="170"/>
      <c r="Q650" s="666"/>
      <c r="R650" s="666"/>
      <c r="S650" s="152"/>
      <c r="T650" s="666"/>
      <c r="U650" s="666"/>
      <c r="V650" s="174">
        <f t="shared" si="153"/>
        <v>329612.68</v>
      </c>
      <c r="W650" s="666"/>
      <c r="X650" s="666"/>
      <c r="Y650" s="152"/>
      <c r="Z650" s="420"/>
      <c r="AA650" s="420"/>
      <c r="AB650" s="420"/>
      <c r="AC650" s="420"/>
      <c r="AD650" s="420"/>
      <c r="AE650" s="420"/>
    </row>
    <row r="651" spans="2:31" ht="60">
      <c r="B651" s="193">
        <v>57.15</v>
      </c>
      <c r="C651" s="172" t="s">
        <v>1281</v>
      </c>
      <c r="D651" s="171" t="s">
        <v>1282</v>
      </c>
      <c r="E651" s="666"/>
      <c r="F651" s="423"/>
      <c r="G651" s="762"/>
      <c r="H651" s="666"/>
      <c r="I651" s="390"/>
      <c r="J651" s="170">
        <v>119614.99</v>
      </c>
      <c r="K651" s="666"/>
      <c r="L651" s="666"/>
      <c r="M651" s="415"/>
      <c r="N651" s="666"/>
      <c r="O651" s="666"/>
      <c r="P651" s="170"/>
      <c r="Q651" s="666"/>
      <c r="R651" s="666"/>
      <c r="S651" s="152"/>
      <c r="T651" s="666"/>
      <c r="U651" s="666"/>
      <c r="V651" s="174">
        <f t="shared" si="153"/>
        <v>119614.99</v>
      </c>
      <c r="W651" s="666"/>
      <c r="X651" s="666"/>
      <c r="Y651" s="152"/>
      <c r="Z651" s="420"/>
      <c r="AA651" s="420"/>
      <c r="AB651" s="420"/>
      <c r="AC651" s="420"/>
      <c r="AD651" s="420"/>
      <c r="AE651" s="420"/>
    </row>
    <row r="652" spans="2:31" ht="120">
      <c r="B652" s="193">
        <v>57.16</v>
      </c>
      <c r="C652" s="172" t="s">
        <v>1283</v>
      </c>
      <c r="D652" s="171" t="s">
        <v>1284</v>
      </c>
      <c r="E652" s="666"/>
      <c r="F652" s="423"/>
      <c r="G652" s="762"/>
      <c r="H652" s="666"/>
      <c r="I652" s="390"/>
      <c r="J652" s="170">
        <v>71848.31</v>
      </c>
      <c r="K652" s="666"/>
      <c r="L652" s="666"/>
      <c r="M652" s="415"/>
      <c r="N652" s="666"/>
      <c r="O652" s="666"/>
      <c r="P652" s="170">
        <v>71964.38</v>
      </c>
      <c r="Q652" s="666"/>
      <c r="R652" s="666"/>
      <c r="S652" s="420">
        <f>SUM(N652:R652)</f>
        <v>71964.38</v>
      </c>
      <c r="T652" s="666"/>
      <c r="U652" s="666"/>
      <c r="V652" s="174">
        <f t="shared" si="153"/>
        <v>-116.07000000000698</v>
      </c>
      <c r="W652" s="666"/>
      <c r="X652" s="666"/>
      <c r="Y652" s="152"/>
      <c r="Z652" s="420"/>
      <c r="AA652" s="420"/>
      <c r="AB652" s="420"/>
      <c r="AC652" s="420"/>
      <c r="AD652" s="420"/>
      <c r="AE652" s="420"/>
    </row>
    <row r="653" spans="2:31" ht="45">
      <c r="B653" s="193">
        <v>57.17</v>
      </c>
      <c r="C653" s="172" t="s">
        <v>1285</v>
      </c>
      <c r="D653" s="171" t="s">
        <v>1286</v>
      </c>
      <c r="E653" s="666"/>
      <c r="F653" s="423"/>
      <c r="G653" s="762"/>
      <c r="H653" s="666"/>
      <c r="I653" s="390"/>
      <c r="J653" s="170">
        <v>7790.57</v>
      </c>
      <c r="K653" s="666"/>
      <c r="L653" s="666"/>
      <c r="M653" s="415"/>
      <c r="N653" s="666"/>
      <c r="O653" s="666"/>
      <c r="P653" s="170">
        <v>7790.57</v>
      </c>
      <c r="Q653" s="666"/>
      <c r="R653" s="666"/>
      <c r="S653" s="420">
        <f t="shared" ref="S653:S664" si="154">SUM(N653:R653)</f>
        <v>7790.57</v>
      </c>
      <c r="T653" s="666"/>
      <c r="U653" s="666"/>
      <c r="V653" s="174">
        <f t="shared" si="153"/>
        <v>0</v>
      </c>
      <c r="W653" s="666"/>
      <c r="X653" s="666"/>
      <c r="Y653" s="152"/>
      <c r="Z653" s="420"/>
      <c r="AA653" s="420"/>
      <c r="AB653" s="420"/>
      <c r="AC653" s="420"/>
      <c r="AD653" s="420"/>
      <c r="AE653" s="420"/>
    </row>
    <row r="654" spans="2:31" ht="120">
      <c r="B654" s="193">
        <v>57.18</v>
      </c>
      <c r="C654" s="172" t="s">
        <v>1287</v>
      </c>
      <c r="D654" s="171" t="s">
        <v>1288</v>
      </c>
      <c r="E654" s="666"/>
      <c r="F654" s="423"/>
      <c r="G654" s="762"/>
      <c r="H654" s="666"/>
      <c r="I654" s="390"/>
      <c r="J654" s="170">
        <v>19724.819999999992</v>
      </c>
      <c r="K654" s="666"/>
      <c r="L654" s="666"/>
      <c r="M654" s="415"/>
      <c r="N654" s="666"/>
      <c r="O654" s="666"/>
      <c r="P654" s="170">
        <v>19724.82</v>
      </c>
      <c r="Q654" s="666"/>
      <c r="R654" s="666"/>
      <c r="S654" s="420">
        <f t="shared" si="154"/>
        <v>19724.82</v>
      </c>
      <c r="T654" s="666"/>
      <c r="U654" s="666"/>
      <c r="V654" s="174">
        <f t="shared" si="153"/>
        <v>0</v>
      </c>
      <c r="W654" s="666"/>
      <c r="X654" s="666"/>
      <c r="Y654" s="152"/>
      <c r="Z654" s="420"/>
      <c r="AA654" s="420"/>
      <c r="AB654" s="420"/>
      <c r="AC654" s="420"/>
      <c r="AD654" s="420"/>
      <c r="AE654" s="420"/>
    </row>
    <row r="655" spans="2:31" ht="150">
      <c r="B655" s="193">
        <v>57.19</v>
      </c>
      <c r="C655" s="172" t="s">
        <v>1289</v>
      </c>
      <c r="D655" s="171" t="s">
        <v>1290</v>
      </c>
      <c r="E655" s="666"/>
      <c r="F655" s="423"/>
      <c r="G655" s="762"/>
      <c r="H655" s="666"/>
      <c r="I655" s="390"/>
      <c r="J655" s="170">
        <v>50270.98</v>
      </c>
      <c r="K655" s="666"/>
      <c r="L655" s="666"/>
      <c r="M655" s="415"/>
      <c r="N655" s="666"/>
      <c r="O655" s="666"/>
      <c r="P655" s="170">
        <v>50270.98</v>
      </c>
      <c r="Q655" s="666"/>
      <c r="R655" s="666"/>
      <c r="S655" s="420">
        <f t="shared" si="154"/>
        <v>50270.98</v>
      </c>
      <c r="T655" s="666"/>
      <c r="U655" s="666"/>
      <c r="V655" s="174">
        <f t="shared" si="153"/>
        <v>0</v>
      </c>
      <c r="W655" s="666"/>
      <c r="X655" s="666"/>
      <c r="Y655" s="152"/>
      <c r="Z655" s="420"/>
      <c r="AA655" s="420"/>
      <c r="AB655" s="420"/>
      <c r="AC655" s="420"/>
      <c r="AD655" s="420"/>
      <c r="AE655" s="420"/>
    </row>
    <row r="656" spans="2:31" ht="180">
      <c r="B656" s="193" t="s">
        <v>1291</v>
      </c>
      <c r="C656" s="172" t="s">
        <v>1292</v>
      </c>
      <c r="D656" s="171" t="s">
        <v>1293</v>
      </c>
      <c r="E656" s="666"/>
      <c r="F656" s="423"/>
      <c r="G656" s="762"/>
      <c r="H656" s="666"/>
      <c r="I656" s="390"/>
      <c r="J656" s="170">
        <v>63771.98</v>
      </c>
      <c r="K656" s="666"/>
      <c r="L656" s="666"/>
      <c r="M656" s="415"/>
      <c r="N656" s="666"/>
      <c r="O656" s="666"/>
      <c r="P656" s="170">
        <v>63771.98</v>
      </c>
      <c r="Q656" s="666"/>
      <c r="R656" s="666"/>
      <c r="S656" s="420">
        <f t="shared" si="154"/>
        <v>63771.98</v>
      </c>
      <c r="T656" s="666"/>
      <c r="U656" s="666"/>
      <c r="V656" s="174">
        <f t="shared" si="153"/>
        <v>0</v>
      </c>
      <c r="W656" s="666"/>
      <c r="X656" s="666"/>
      <c r="Y656" s="152"/>
      <c r="Z656" s="420"/>
      <c r="AA656" s="420"/>
      <c r="AB656" s="420"/>
      <c r="AC656" s="420"/>
      <c r="AD656" s="420"/>
      <c r="AE656" s="420"/>
    </row>
    <row r="657" spans="2:31" ht="45">
      <c r="B657" s="193">
        <v>57.21</v>
      </c>
      <c r="C657" s="172" t="s">
        <v>1294</v>
      </c>
      <c r="D657" s="171" t="s">
        <v>1295</v>
      </c>
      <c r="E657" s="666"/>
      <c r="F657" s="423"/>
      <c r="G657" s="762"/>
      <c r="H657" s="666"/>
      <c r="I657" s="390"/>
      <c r="J657" s="170">
        <v>12864.15</v>
      </c>
      <c r="K657" s="666"/>
      <c r="L657" s="666"/>
      <c r="M657" s="415"/>
      <c r="N657" s="666"/>
      <c r="O657" s="666"/>
      <c r="P657" s="170">
        <v>12864.14</v>
      </c>
      <c r="Q657" s="666"/>
      <c r="R657" s="666"/>
      <c r="S657" s="420">
        <f t="shared" si="154"/>
        <v>12864.14</v>
      </c>
      <c r="T657" s="666"/>
      <c r="U657" s="666"/>
      <c r="V657" s="174">
        <f t="shared" si="153"/>
        <v>1.0000000000218279E-2</v>
      </c>
      <c r="W657" s="666"/>
      <c r="X657" s="666"/>
      <c r="Y657" s="152"/>
      <c r="Z657" s="420"/>
      <c r="AA657" s="420"/>
      <c r="AB657" s="420"/>
      <c r="AC657" s="420"/>
      <c r="AD657" s="420"/>
      <c r="AE657" s="420"/>
    </row>
    <row r="658" spans="2:31" ht="75">
      <c r="B658" s="193">
        <v>57.22</v>
      </c>
      <c r="C658" s="172" t="s">
        <v>1296</v>
      </c>
      <c r="D658" s="171" t="s">
        <v>1297</v>
      </c>
      <c r="E658" s="666"/>
      <c r="F658" s="423"/>
      <c r="G658" s="762"/>
      <c r="H658" s="666"/>
      <c r="I658" s="390"/>
      <c r="J658" s="170">
        <v>37658.120000000003</v>
      </c>
      <c r="K658" s="666"/>
      <c r="L658" s="666"/>
      <c r="M658" s="415"/>
      <c r="N658" s="666"/>
      <c r="O658" s="666"/>
      <c r="P658" s="170">
        <v>32344.28</v>
      </c>
      <c r="Q658" s="666"/>
      <c r="R658" s="666"/>
      <c r="S658" s="420">
        <f t="shared" si="154"/>
        <v>32344.28</v>
      </c>
      <c r="T658" s="666"/>
      <c r="U658" s="666"/>
      <c r="V658" s="174">
        <f t="shared" si="153"/>
        <v>5313.8400000000038</v>
      </c>
      <c r="W658" s="666"/>
      <c r="X658" s="666"/>
      <c r="Y658" s="152"/>
      <c r="Z658" s="420"/>
      <c r="AA658" s="420"/>
      <c r="AB658" s="420"/>
      <c r="AC658" s="420"/>
      <c r="AD658" s="420"/>
      <c r="AE658" s="420"/>
    </row>
    <row r="659" spans="2:31" ht="60">
      <c r="B659" s="193">
        <v>57.23</v>
      </c>
      <c r="C659" s="172" t="s">
        <v>1298</v>
      </c>
      <c r="D659" s="171" t="s">
        <v>1299</v>
      </c>
      <c r="E659" s="666"/>
      <c r="F659" s="423"/>
      <c r="G659" s="762"/>
      <c r="H659" s="666"/>
      <c r="I659" s="390"/>
      <c r="J659" s="170">
        <v>425500.01</v>
      </c>
      <c r="K659" s="666"/>
      <c r="L659" s="666"/>
      <c r="M659" s="415"/>
      <c r="N659" s="666"/>
      <c r="O659" s="666"/>
      <c r="P659" s="170">
        <v>425500.01</v>
      </c>
      <c r="Q659" s="666"/>
      <c r="R659" s="666"/>
      <c r="S659" s="420">
        <f t="shared" si="154"/>
        <v>425500.01</v>
      </c>
      <c r="T659" s="666"/>
      <c r="U659" s="666"/>
      <c r="V659" s="174">
        <f t="shared" si="153"/>
        <v>0</v>
      </c>
      <c r="W659" s="666"/>
      <c r="X659" s="666"/>
      <c r="Y659" s="152"/>
      <c r="Z659" s="420"/>
      <c r="AA659" s="420"/>
      <c r="AB659" s="420"/>
      <c r="AC659" s="420"/>
      <c r="AD659" s="420"/>
      <c r="AE659" s="420"/>
    </row>
    <row r="660" spans="2:31" ht="45">
      <c r="B660" s="193">
        <v>57.24</v>
      </c>
      <c r="C660" s="172" t="s">
        <v>1300</v>
      </c>
      <c r="D660" s="171" t="s">
        <v>1301</v>
      </c>
      <c r="E660" s="666"/>
      <c r="F660" s="423"/>
      <c r="G660" s="762"/>
      <c r="H660" s="666"/>
      <c r="I660" s="390"/>
      <c r="J660" s="170">
        <v>182345.7</v>
      </c>
      <c r="K660" s="666"/>
      <c r="L660" s="666"/>
      <c r="M660" s="415"/>
      <c r="N660" s="666"/>
      <c r="O660" s="666"/>
      <c r="P660" s="170">
        <v>182345.7</v>
      </c>
      <c r="Q660" s="666"/>
      <c r="R660" s="666"/>
      <c r="S660" s="420">
        <f t="shared" si="154"/>
        <v>182345.7</v>
      </c>
      <c r="T660" s="666"/>
      <c r="U660" s="666"/>
      <c r="V660" s="174">
        <f t="shared" si="153"/>
        <v>0</v>
      </c>
      <c r="W660" s="666"/>
      <c r="X660" s="666"/>
      <c r="Y660" s="152"/>
      <c r="Z660" s="420"/>
      <c r="AA660" s="420"/>
      <c r="AB660" s="420"/>
      <c r="AC660" s="420"/>
      <c r="AD660" s="420"/>
      <c r="AE660" s="420"/>
    </row>
    <row r="661" spans="2:31" ht="30">
      <c r="B661" s="193">
        <v>57.25</v>
      </c>
      <c r="C661" s="172" t="s">
        <v>1302</v>
      </c>
      <c r="D661" s="171" t="s">
        <v>1303</v>
      </c>
      <c r="E661" s="666"/>
      <c r="F661" s="423"/>
      <c r="G661" s="762"/>
      <c r="H661" s="666"/>
      <c r="I661" s="390"/>
      <c r="J661" s="170">
        <v>29000</v>
      </c>
      <c r="K661" s="666"/>
      <c r="L661" s="666"/>
      <c r="M661" s="415"/>
      <c r="N661" s="666"/>
      <c r="O661" s="666"/>
      <c r="P661" s="170">
        <v>29000</v>
      </c>
      <c r="Q661" s="666"/>
      <c r="R661" s="666"/>
      <c r="S661" s="420">
        <f t="shared" si="154"/>
        <v>29000</v>
      </c>
      <c r="T661" s="666"/>
      <c r="U661" s="666"/>
      <c r="V661" s="174">
        <f t="shared" si="153"/>
        <v>0</v>
      </c>
      <c r="W661" s="666"/>
      <c r="X661" s="666"/>
      <c r="Y661" s="152"/>
      <c r="Z661" s="420"/>
      <c r="AA661" s="420"/>
      <c r="AB661" s="420"/>
      <c r="AC661" s="420"/>
      <c r="AD661" s="420"/>
      <c r="AE661" s="420"/>
    </row>
    <row r="662" spans="2:31" ht="45">
      <c r="B662" s="193">
        <v>57.26</v>
      </c>
      <c r="C662" s="172" t="s">
        <v>1304</v>
      </c>
      <c r="D662" s="171" t="s">
        <v>1305</v>
      </c>
      <c r="E662" s="666"/>
      <c r="F662" s="423"/>
      <c r="G662" s="762"/>
      <c r="H662" s="666"/>
      <c r="I662" s="390"/>
      <c r="J662" s="170">
        <v>95430.200000000012</v>
      </c>
      <c r="K662" s="666"/>
      <c r="L662" s="666"/>
      <c r="M662" s="415"/>
      <c r="N662" s="666"/>
      <c r="O662" s="666"/>
      <c r="P662" s="170">
        <v>95430.2</v>
      </c>
      <c r="Q662" s="666"/>
      <c r="R662" s="666"/>
      <c r="S662" s="152">
        <f t="shared" si="154"/>
        <v>95430.2</v>
      </c>
      <c r="T662" s="666"/>
      <c r="U662" s="666"/>
      <c r="V662" s="174">
        <f t="shared" si="153"/>
        <v>0</v>
      </c>
      <c r="W662" s="666"/>
      <c r="X662" s="666"/>
      <c r="Y662" s="152"/>
      <c r="Z662" s="420"/>
      <c r="AA662" s="420"/>
      <c r="AB662" s="420"/>
      <c r="AC662" s="420"/>
      <c r="AD662" s="420"/>
      <c r="AE662" s="420"/>
    </row>
    <row r="663" spans="2:31" ht="30">
      <c r="B663" s="193">
        <v>57.27</v>
      </c>
      <c r="C663" s="172" t="s">
        <v>1239</v>
      </c>
      <c r="D663" s="171" t="s">
        <v>1240</v>
      </c>
      <c r="E663" s="666"/>
      <c r="F663" s="423"/>
      <c r="G663" s="762"/>
      <c r="H663" s="666"/>
      <c r="I663" s="390"/>
      <c r="J663" s="170">
        <v>93130.55</v>
      </c>
      <c r="K663" s="666"/>
      <c r="L663" s="666"/>
      <c r="M663" s="415"/>
      <c r="N663" s="666"/>
      <c r="O663" s="666"/>
      <c r="P663" s="170">
        <v>93130.54</v>
      </c>
      <c r="Q663" s="666"/>
      <c r="R663" s="666"/>
      <c r="S663" s="152">
        <f t="shared" si="154"/>
        <v>93130.54</v>
      </c>
      <c r="T663" s="666"/>
      <c r="U663" s="666"/>
      <c r="V663" s="174">
        <f t="shared" si="153"/>
        <v>1.0000000009313226E-2</v>
      </c>
      <c r="W663" s="666"/>
      <c r="X663" s="666"/>
      <c r="Y663" s="152"/>
      <c r="Z663" s="420"/>
      <c r="AA663" s="420"/>
      <c r="AB663" s="420"/>
      <c r="AC663" s="420"/>
      <c r="AD663" s="420"/>
      <c r="AE663" s="420"/>
    </row>
    <row r="664" spans="2:31" ht="409.5">
      <c r="B664" s="193">
        <v>57.28</v>
      </c>
      <c r="C664" s="172" t="s">
        <v>1306</v>
      </c>
      <c r="D664" s="171" t="s">
        <v>1207</v>
      </c>
      <c r="E664" s="666"/>
      <c r="F664" s="423"/>
      <c r="G664" s="762"/>
      <c r="H664" s="666"/>
      <c r="I664" s="390"/>
      <c r="J664" s="170">
        <v>92776.17</v>
      </c>
      <c r="K664" s="666"/>
      <c r="L664" s="666"/>
      <c r="M664" s="415"/>
      <c r="N664" s="666"/>
      <c r="O664" s="666"/>
      <c r="P664" s="170"/>
      <c r="Q664" s="666"/>
      <c r="R664" s="666"/>
      <c r="S664" s="152">
        <f t="shared" si="154"/>
        <v>0</v>
      </c>
      <c r="T664" s="666"/>
      <c r="U664" s="666"/>
      <c r="V664" s="174">
        <f>+J664-P664</f>
        <v>92776.17</v>
      </c>
      <c r="W664" s="666"/>
      <c r="X664" s="666"/>
      <c r="Y664" s="152"/>
      <c r="Z664" s="420"/>
      <c r="AA664" s="420"/>
      <c r="AB664" s="420"/>
      <c r="AC664" s="420"/>
      <c r="AD664" s="420"/>
      <c r="AE664" s="420"/>
    </row>
    <row r="665" spans="2:31" ht="45">
      <c r="B665" s="193">
        <v>57.29</v>
      </c>
      <c r="C665" s="172" t="s">
        <v>1307</v>
      </c>
      <c r="D665" s="171" t="s">
        <v>1308</v>
      </c>
      <c r="E665" s="666"/>
      <c r="F665" s="423"/>
      <c r="G665" s="762"/>
      <c r="H665" s="666"/>
      <c r="I665" s="390"/>
      <c r="J665" s="170">
        <v>108888.07</v>
      </c>
      <c r="K665" s="666"/>
      <c r="L665" s="666"/>
      <c r="M665" s="415"/>
      <c r="N665" s="666"/>
      <c r="O665" s="666"/>
      <c r="P665" s="170">
        <v>108888.08</v>
      </c>
      <c r="Q665" s="666"/>
      <c r="R665" s="666"/>
      <c r="S665" s="152">
        <f>SUM(N665:R665)</f>
        <v>108888.08</v>
      </c>
      <c r="T665" s="666"/>
      <c r="U665" s="666"/>
      <c r="V665" s="174">
        <f t="shared" si="153"/>
        <v>-9.9999999947613105E-3</v>
      </c>
      <c r="W665" s="666"/>
      <c r="X665" s="666"/>
      <c r="Y665" s="152"/>
      <c r="Z665" s="420"/>
      <c r="AA665" s="420"/>
      <c r="AB665" s="420"/>
      <c r="AC665" s="420"/>
      <c r="AD665" s="420"/>
      <c r="AE665" s="420"/>
    </row>
    <row r="666" spans="2:31" ht="45">
      <c r="B666" s="193" t="s">
        <v>1309</v>
      </c>
      <c r="C666" s="172" t="s">
        <v>1310</v>
      </c>
      <c r="D666" s="171" t="s">
        <v>1311</v>
      </c>
      <c r="E666" s="666"/>
      <c r="F666" s="423"/>
      <c r="G666" s="762"/>
      <c r="H666" s="666"/>
      <c r="I666" s="390"/>
      <c r="J666" s="170">
        <v>980449.71</v>
      </c>
      <c r="K666" s="666"/>
      <c r="L666" s="666"/>
      <c r="M666" s="415"/>
      <c r="N666" s="666"/>
      <c r="O666" s="666"/>
      <c r="P666" s="170"/>
      <c r="Q666" s="666"/>
      <c r="R666" s="666"/>
      <c r="S666" s="152">
        <f t="shared" ref="S666:S682" si="155">SUM(N666:R666)</f>
        <v>0</v>
      </c>
      <c r="T666" s="666"/>
      <c r="U666" s="666"/>
      <c r="V666" s="174">
        <f t="shared" si="153"/>
        <v>980449.71</v>
      </c>
      <c r="W666" s="666"/>
      <c r="X666" s="666"/>
      <c r="Y666" s="152"/>
      <c r="Z666" s="420"/>
      <c r="AA666" s="420"/>
      <c r="AB666" s="420"/>
      <c r="AC666" s="420"/>
      <c r="AD666" s="420"/>
      <c r="AE666" s="420"/>
    </row>
    <row r="667" spans="2:31" ht="45">
      <c r="B667" s="193">
        <v>57.31</v>
      </c>
      <c r="C667" s="172" t="s">
        <v>1312</v>
      </c>
      <c r="D667" s="171" t="s">
        <v>1313</v>
      </c>
      <c r="E667" s="666"/>
      <c r="F667" s="423"/>
      <c r="G667" s="762"/>
      <c r="H667" s="666"/>
      <c r="I667" s="390"/>
      <c r="J667" s="170">
        <v>775524.18</v>
      </c>
      <c r="K667" s="666"/>
      <c r="L667" s="666"/>
      <c r="M667" s="415"/>
      <c r="N667" s="666"/>
      <c r="O667" s="666"/>
      <c r="P667" s="170"/>
      <c r="Q667" s="666"/>
      <c r="R667" s="666"/>
      <c r="S667" s="152">
        <f t="shared" si="155"/>
        <v>0</v>
      </c>
      <c r="T667" s="666"/>
      <c r="U667" s="666"/>
      <c r="V667" s="174">
        <f t="shared" si="153"/>
        <v>775524.18</v>
      </c>
      <c r="W667" s="666"/>
      <c r="X667" s="666"/>
      <c r="Y667" s="152"/>
      <c r="Z667" s="420"/>
      <c r="AA667" s="420"/>
      <c r="AB667" s="420"/>
      <c r="AC667" s="420"/>
      <c r="AD667" s="420"/>
      <c r="AE667" s="420"/>
    </row>
    <row r="668" spans="2:31" ht="60">
      <c r="B668" s="193">
        <v>57.32</v>
      </c>
      <c r="C668" s="172" t="s">
        <v>1281</v>
      </c>
      <c r="D668" s="171" t="s">
        <v>1282</v>
      </c>
      <c r="E668" s="666"/>
      <c r="F668" s="423"/>
      <c r="G668" s="762"/>
      <c r="H668" s="666"/>
      <c r="I668" s="390"/>
      <c r="J668" s="170">
        <v>135138.04</v>
      </c>
      <c r="K668" s="666"/>
      <c r="L668" s="666"/>
      <c r="M668" s="415"/>
      <c r="N668" s="666"/>
      <c r="O668" s="666"/>
      <c r="P668" s="170"/>
      <c r="Q668" s="666"/>
      <c r="R668" s="666"/>
      <c r="S668" s="152">
        <f t="shared" si="155"/>
        <v>0</v>
      </c>
      <c r="T668" s="666"/>
      <c r="U668" s="666"/>
      <c r="V668" s="174">
        <f t="shared" si="153"/>
        <v>135138.04</v>
      </c>
      <c r="W668" s="666"/>
      <c r="X668" s="666"/>
      <c r="Y668" s="152"/>
      <c r="Z668" s="420"/>
      <c r="AA668" s="420"/>
      <c r="AB668" s="420"/>
      <c r="AC668" s="420"/>
      <c r="AD668" s="420"/>
      <c r="AE668" s="420"/>
    </row>
    <row r="669" spans="2:31" ht="60">
      <c r="B669" s="193">
        <v>57.33</v>
      </c>
      <c r="C669" s="659" t="s">
        <v>1314</v>
      </c>
      <c r="D669" s="656" t="s">
        <v>1315</v>
      </c>
      <c r="E669" s="666"/>
      <c r="F669" s="423"/>
      <c r="G669" s="762"/>
      <c r="H669" s="666"/>
      <c r="I669" s="390"/>
      <c r="J669" s="170">
        <v>56421.299999999988</v>
      </c>
      <c r="K669" s="666"/>
      <c r="L669" s="666"/>
      <c r="M669" s="415"/>
      <c r="N669" s="666"/>
      <c r="O669" s="666"/>
      <c r="P669" s="170"/>
      <c r="Q669" s="666"/>
      <c r="R669" s="666"/>
      <c r="S669" s="152">
        <f t="shared" si="155"/>
        <v>0</v>
      </c>
      <c r="T669" s="666"/>
      <c r="U669" s="666"/>
      <c r="V669" s="174">
        <f t="shared" si="153"/>
        <v>56421.299999999988</v>
      </c>
      <c r="W669" s="666"/>
      <c r="X669" s="666"/>
      <c r="Y669" s="152"/>
      <c r="Z669" s="420"/>
      <c r="AA669" s="420"/>
      <c r="AB669" s="420"/>
      <c r="AC669" s="420"/>
      <c r="AD669" s="420"/>
      <c r="AE669" s="420"/>
    </row>
    <row r="670" spans="2:31" ht="60">
      <c r="B670" s="193">
        <v>57.34</v>
      </c>
      <c r="C670" s="172" t="s">
        <v>1316</v>
      </c>
      <c r="D670" s="171" t="s">
        <v>1317</v>
      </c>
      <c r="E670" s="666"/>
      <c r="F670" s="423"/>
      <c r="G670" s="762"/>
      <c r="H670" s="666"/>
      <c r="I670" s="390"/>
      <c r="J670" s="170">
        <v>13409.580000000002</v>
      </c>
      <c r="K670" s="666"/>
      <c r="L670" s="666"/>
      <c r="M670" s="415"/>
      <c r="N670" s="666"/>
      <c r="O670" s="666"/>
      <c r="P670" s="170"/>
      <c r="Q670" s="666"/>
      <c r="R670" s="666"/>
      <c r="S670" s="152">
        <f t="shared" si="155"/>
        <v>0</v>
      </c>
      <c r="T670" s="666"/>
      <c r="U670" s="666"/>
      <c r="V670" s="174">
        <f t="shared" si="153"/>
        <v>13409.580000000002</v>
      </c>
      <c r="W670" s="666"/>
      <c r="X670" s="666"/>
      <c r="Y670" s="152"/>
      <c r="Z670" s="420"/>
      <c r="AA670" s="420"/>
      <c r="AB670" s="420"/>
      <c r="AC670" s="420"/>
      <c r="AD670" s="420"/>
      <c r="AE670" s="420"/>
    </row>
    <row r="671" spans="2:31" ht="60">
      <c r="B671" s="193">
        <v>57.35</v>
      </c>
      <c r="C671" s="172" t="s">
        <v>1318</v>
      </c>
      <c r="D671" s="171" t="s">
        <v>1319</v>
      </c>
      <c r="E671" s="666"/>
      <c r="F671" s="423"/>
      <c r="G671" s="762"/>
      <c r="H671" s="666"/>
      <c r="I671" s="390"/>
      <c r="J671" s="170">
        <v>56499.98</v>
      </c>
      <c r="K671" s="666"/>
      <c r="L671" s="666"/>
      <c r="M671" s="415"/>
      <c r="N671" s="666"/>
      <c r="O671" s="666"/>
      <c r="P671" s="170"/>
      <c r="Q671" s="666"/>
      <c r="R671" s="666"/>
      <c r="S671" s="152">
        <f t="shared" si="155"/>
        <v>0</v>
      </c>
      <c r="T671" s="666"/>
      <c r="U671" s="666"/>
      <c r="V671" s="174">
        <f t="shared" si="153"/>
        <v>56499.98</v>
      </c>
      <c r="W671" s="666"/>
      <c r="X671" s="666"/>
      <c r="Y671" s="152"/>
      <c r="Z671" s="420"/>
      <c r="AA671" s="420"/>
      <c r="AB671" s="420"/>
      <c r="AC671" s="420"/>
      <c r="AD671" s="420"/>
      <c r="AE671" s="420"/>
    </row>
    <row r="672" spans="2:31" ht="75">
      <c r="B672" s="193">
        <v>57.36</v>
      </c>
      <c r="C672" s="172" t="s">
        <v>1320</v>
      </c>
      <c r="D672" s="171" t="s">
        <v>1321</v>
      </c>
      <c r="E672" s="666"/>
      <c r="F672" s="423"/>
      <c r="G672" s="762"/>
      <c r="H672" s="666"/>
      <c r="I672" s="390"/>
      <c r="J672" s="170">
        <v>34346.699999999997</v>
      </c>
      <c r="K672" s="666"/>
      <c r="L672" s="666"/>
      <c r="M672" s="415"/>
      <c r="N672" s="666"/>
      <c r="O672" s="666"/>
      <c r="P672" s="170">
        <v>34346.99</v>
      </c>
      <c r="Q672" s="666"/>
      <c r="R672" s="666"/>
      <c r="S672" s="152">
        <f t="shared" si="155"/>
        <v>34346.99</v>
      </c>
      <c r="T672" s="666"/>
      <c r="U672" s="666"/>
      <c r="V672" s="174">
        <f t="shared" si="153"/>
        <v>-0.29000000000087311</v>
      </c>
      <c r="W672" s="666"/>
      <c r="X672" s="666"/>
      <c r="Y672" s="152"/>
      <c r="Z672" s="420"/>
      <c r="AA672" s="420"/>
      <c r="AB672" s="420"/>
      <c r="AC672" s="420"/>
      <c r="AD672" s="420"/>
      <c r="AE672" s="420"/>
    </row>
    <row r="673" spans="2:37" ht="285">
      <c r="B673" s="193">
        <v>57.37</v>
      </c>
      <c r="C673" s="172" t="s">
        <v>1322</v>
      </c>
      <c r="D673" s="171" t="s">
        <v>1323</v>
      </c>
      <c r="E673" s="666"/>
      <c r="F673" s="423"/>
      <c r="G673" s="762"/>
      <c r="H673" s="666"/>
      <c r="I673" s="390"/>
      <c r="J673" s="170">
        <v>235656.43</v>
      </c>
      <c r="K673" s="666"/>
      <c r="L673" s="666"/>
      <c r="M673" s="415"/>
      <c r="N673" s="666"/>
      <c r="O673" s="666"/>
      <c r="P673" s="170"/>
      <c r="Q673" s="666"/>
      <c r="R673" s="666"/>
      <c r="S673" s="152">
        <f t="shared" si="155"/>
        <v>0</v>
      </c>
      <c r="T673" s="666"/>
      <c r="U673" s="666"/>
      <c r="V673" s="174">
        <f t="shared" si="153"/>
        <v>235656.43</v>
      </c>
      <c r="W673" s="666"/>
      <c r="X673" s="666"/>
      <c r="Y673" s="152"/>
      <c r="Z673" s="420"/>
      <c r="AA673" s="420"/>
      <c r="AB673" s="420"/>
      <c r="AC673" s="420"/>
      <c r="AD673" s="420"/>
      <c r="AE673" s="420"/>
    </row>
    <row r="674" spans="2:37" ht="90">
      <c r="B674" s="193">
        <v>57.38</v>
      </c>
      <c r="C674" s="172" t="s">
        <v>1324</v>
      </c>
      <c r="D674" s="171" t="s">
        <v>1325</v>
      </c>
      <c r="E674" s="666"/>
      <c r="F674" s="423"/>
      <c r="G674" s="762"/>
      <c r="H674" s="666"/>
      <c r="I674" s="390"/>
      <c r="J674" s="170">
        <v>7272.94</v>
      </c>
      <c r="K674" s="666"/>
      <c r="L674" s="666"/>
      <c r="M674" s="415"/>
      <c r="N674" s="666"/>
      <c r="O674" s="666"/>
      <c r="P674" s="170">
        <v>7272.94</v>
      </c>
      <c r="Q674" s="666"/>
      <c r="R674" s="666"/>
      <c r="S674" s="152">
        <f t="shared" si="155"/>
        <v>7272.94</v>
      </c>
      <c r="T674" s="666"/>
      <c r="U674" s="666"/>
      <c r="V674" s="174">
        <f t="shared" si="153"/>
        <v>0</v>
      </c>
      <c r="W674" s="666"/>
      <c r="X674" s="666"/>
      <c r="Y674" s="152"/>
      <c r="Z674" s="420"/>
      <c r="AA674" s="420"/>
      <c r="AB674" s="420"/>
      <c r="AC674" s="420"/>
      <c r="AD674" s="420"/>
      <c r="AE674" s="420"/>
    </row>
    <row r="675" spans="2:37" ht="90">
      <c r="B675" s="193">
        <v>57.39</v>
      </c>
      <c r="C675" s="172" t="s">
        <v>1326</v>
      </c>
      <c r="D675" s="171" t="s">
        <v>1327</v>
      </c>
      <c r="E675" s="666"/>
      <c r="F675" s="423"/>
      <c r="G675" s="762"/>
      <c r="H675" s="666"/>
      <c r="I675" s="390"/>
      <c r="J675" s="170">
        <v>41530.600000000035</v>
      </c>
      <c r="K675" s="666"/>
      <c r="L675" s="666"/>
      <c r="M675" s="415"/>
      <c r="N675" s="666"/>
      <c r="O675" s="666"/>
      <c r="P675" s="170"/>
      <c r="Q675" s="666"/>
      <c r="R675" s="666"/>
      <c r="S675" s="152">
        <f t="shared" si="155"/>
        <v>0</v>
      </c>
      <c r="T675" s="666"/>
      <c r="U675" s="666"/>
      <c r="V675" s="174">
        <f t="shared" si="153"/>
        <v>41530.600000000035</v>
      </c>
      <c r="W675" s="666"/>
      <c r="X675" s="666"/>
      <c r="Y675" s="152"/>
      <c r="Z675" s="420"/>
      <c r="AA675" s="420"/>
      <c r="AB675" s="420"/>
      <c r="AC675" s="420"/>
      <c r="AD675" s="420"/>
      <c r="AE675" s="420"/>
    </row>
    <row r="676" spans="2:37" ht="75">
      <c r="B676" s="193" t="s">
        <v>1328</v>
      </c>
      <c r="C676" s="172" t="s">
        <v>1329</v>
      </c>
      <c r="D676" s="171" t="s">
        <v>1330</v>
      </c>
      <c r="E676" s="666"/>
      <c r="F676" s="423"/>
      <c r="G676" s="762"/>
      <c r="H676" s="666"/>
      <c r="I676" s="390"/>
      <c r="J676" s="170">
        <v>29641.48</v>
      </c>
      <c r="K676" s="666"/>
      <c r="L676" s="666"/>
      <c r="M676" s="415"/>
      <c r="N676" s="666"/>
      <c r="O676" s="666"/>
      <c r="P676" s="170">
        <v>29641.48</v>
      </c>
      <c r="Q676" s="666"/>
      <c r="R676" s="666"/>
      <c r="S676" s="152">
        <f t="shared" si="155"/>
        <v>29641.48</v>
      </c>
      <c r="T676" s="666"/>
      <c r="U676" s="666"/>
      <c r="V676" s="174">
        <f t="shared" si="153"/>
        <v>0</v>
      </c>
      <c r="W676" s="666"/>
      <c r="X676" s="666"/>
      <c r="Y676" s="152"/>
      <c r="Z676" s="420"/>
      <c r="AA676" s="420"/>
      <c r="AB676" s="420"/>
      <c r="AC676" s="420"/>
      <c r="AD676" s="420"/>
      <c r="AE676" s="420"/>
    </row>
    <row r="677" spans="2:37" ht="30">
      <c r="B677" s="193">
        <v>57.41</v>
      </c>
      <c r="C677" s="172" t="s">
        <v>1331</v>
      </c>
      <c r="D677" s="171" t="s">
        <v>1332</v>
      </c>
      <c r="E677" s="666"/>
      <c r="F677" s="423"/>
      <c r="G677" s="762"/>
      <c r="H677" s="666"/>
      <c r="I677" s="390"/>
      <c r="J677" s="170">
        <v>825000</v>
      </c>
      <c r="K677" s="666"/>
      <c r="L677" s="666"/>
      <c r="M677" s="415"/>
      <c r="N677" s="666"/>
      <c r="O677" s="666"/>
      <c r="P677" s="170">
        <v>825000</v>
      </c>
      <c r="Q677" s="666"/>
      <c r="R677" s="666"/>
      <c r="S677" s="152">
        <f t="shared" si="155"/>
        <v>825000</v>
      </c>
      <c r="T677" s="666"/>
      <c r="U677" s="666"/>
      <c r="V677" s="174">
        <f t="shared" si="153"/>
        <v>0</v>
      </c>
      <c r="W677" s="666"/>
      <c r="X677" s="666"/>
      <c r="Y677" s="152"/>
      <c r="Z677" s="420"/>
      <c r="AA677" s="420"/>
      <c r="AB677" s="420"/>
      <c r="AC677" s="420"/>
      <c r="AD677" s="420"/>
      <c r="AE677" s="420"/>
    </row>
    <row r="678" spans="2:37" ht="30">
      <c r="B678" s="193">
        <v>57.42</v>
      </c>
      <c r="C678" s="172" t="s">
        <v>1333</v>
      </c>
      <c r="D678" s="171" t="s">
        <v>1334</v>
      </c>
      <c r="E678" s="666"/>
      <c r="F678" s="423"/>
      <c r="G678" s="762"/>
      <c r="H678" s="666"/>
      <c r="I678" s="390"/>
      <c r="J678" s="170">
        <v>21114.040000000008</v>
      </c>
      <c r="K678" s="666"/>
      <c r="L678" s="666"/>
      <c r="M678" s="415"/>
      <c r="N678" s="666"/>
      <c r="O678" s="666"/>
      <c r="P678" s="170">
        <v>21114.04</v>
      </c>
      <c r="Q678" s="666"/>
      <c r="R678" s="666"/>
      <c r="S678" s="152">
        <f t="shared" si="155"/>
        <v>21114.04</v>
      </c>
      <c r="T678" s="666"/>
      <c r="U678" s="666"/>
      <c r="V678" s="174">
        <f t="shared" si="153"/>
        <v>0</v>
      </c>
      <c r="W678" s="666"/>
      <c r="X678" s="666"/>
      <c r="Y678" s="152"/>
      <c r="Z678" s="420"/>
      <c r="AA678" s="420"/>
      <c r="AB678" s="420"/>
      <c r="AC678" s="420"/>
      <c r="AD678" s="420"/>
      <c r="AE678" s="420"/>
    </row>
    <row r="679" spans="2:37" ht="90">
      <c r="B679" s="193">
        <v>57.43</v>
      </c>
      <c r="C679" s="172" t="s">
        <v>1335</v>
      </c>
      <c r="D679" s="171" t="s">
        <v>1336</v>
      </c>
      <c r="E679" s="666"/>
      <c r="F679" s="423"/>
      <c r="G679" s="762"/>
      <c r="H679" s="666"/>
      <c r="I679" s="390"/>
      <c r="J679" s="170">
        <v>58447.49</v>
      </c>
      <c r="K679" s="666"/>
      <c r="L679" s="666"/>
      <c r="M679" s="415"/>
      <c r="N679" s="666"/>
      <c r="O679" s="666"/>
      <c r="P679" s="170">
        <v>58447.49</v>
      </c>
      <c r="Q679" s="666"/>
      <c r="R679" s="666"/>
      <c r="S679" s="152">
        <f t="shared" si="155"/>
        <v>58447.49</v>
      </c>
      <c r="T679" s="666"/>
      <c r="U679" s="666"/>
      <c r="V679" s="174">
        <f t="shared" si="153"/>
        <v>0</v>
      </c>
      <c r="W679" s="666"/>
      <c r="X679" s="666"/>
      <c r="Y679" s="152"/>
      <c r="Z679" s="420"/>
      <c r="AA679" s="420"/>
      <c r="AB679" s="420"/>
      <c r="AC679" s="420"/>
      <c r="AD679" s="420"/>
      <c r="AE679" s="420"/>
    </row>
    <row r="680" spans="2:37" ht="390">
      <c r="B680" s="193">
        <v>57.44</v>
      </c>
      <c r="C680" s="172" t="s">
        <v>1337</v>
      </c>
      <c r="D680" s="171" t="s">
        <v>1206</v>
      </c>
      <c r="E680" s="666"/>
      <c r="F680" s="423"/>
      <c r="G680" s="762"/>
      <c r="H680" s="666"/>
      <c r="I680" s="390"/>
      <c r="J680" s="170">
        <v>642608.98</v>
      </c>
      <c r="K680" s="666"/>
      <c r="L680" s="666"/>
      <c r="M680" s="415"/>
      <c r="N680" s="666"/>
      <c r="O680" s="666"/>
      <c r="P680" s="170"/>
      <c r="Q680" s="666"/>
      <c r="R680" s="666"/>
      <c r="S680" s="152">
        <f t="shared" si="155"/>
        <v>0</v>
      </c>
      <c r="T680" s="666"/>
      <c r="U680" s="666"/>
      <c r="V680" s="174">
        <f t="shared" si="153"/>
        <v>642608.98</v>
      </c>
      <c r="W680" s="666"/>
      <c r="X680" s="666"/>
      <c r="Y680" s="152"/>
      <c r="Z680" s="420"/>
      <c r="AA680" s="420"/>
      <c r="AB680" s="420"/>
      <c r="AC680" s="420"/>
      <c r="AD680" s="420"/>
      <c r="AE680" s="420"/>
    </row>
    <row r="681" spans="2:37" ht="409.5">
      <c r="B681" s="193">
        <v>57.45</v>
      </c>
      <c r="C681" s="172" t="s">
        <v>1306</v>
      </c>
      <c r="D681" s="171" t="s">
        <v>1207</v>
      </c>
      <c r="E681" s="666"/>
      <c r="F681" s="423"/>
      <c r="G681" s="762"/>
      <c r="H681" s="666"/>
      <c r="I681" s="390"/>
      <c r="J681" s="170">
        <v>157525.98000000001</v>
      </c>
      <c r="K681" s="666"/>
      <c r="L681" s="666"/>
      <c r="M681" s="415"/>
      <c r="N681" s="666"/>
      <c r="O681" s="666"/>
      <c r="P681" s="170"/>
      <c r="Q681" s="666"/>
      <c r="R681" s="666"/>
      <c r="S681" s="152">
        <f t="shared" si="155"/>
        <v>0</v>
      </c>
      <c r="T681" s="666"/>
      <c r="U681" s="666"/>
      <c r="V681" s="174">
        <f>+J681-P681</f>
        <v>157525.98000000001</v>
      </c>
      <c r="W681" s="666"/>
      <c r="X681" s="666"/>
      <c r="Y681" s="152"/>
      <c r="Z681" s="420"/>
      <c r="AA681" s="420"/>
      <c r="AB681" s="420"/>
      <c r="AC681" s="420"/>
      <c r="AD681" s="420"/>
      <c r="AE681" s="420"/>
    </row>
    <row r="682" spans="2:37" ht="75">
      <c r="B682" s="25">
        <v>58</v>
      </c>
      <c r="C682" s="675" t="s">
        <v>1113</v>
      </c>
      <c r="D682" s="676" t="s">
        <v>1101</v>
      </c>
      <c r="E682" s="676" t="s">
        <v>777</v>
      </c>
      <c r="F682" s="688" t="s">
        <v>1448</v>
      </c>
      <c r="G682" s="782"/>
      <c r="H682" s="666"/>
      <c r="I682" s="390"/>
      <c r="J682" s="170">
        <v>2755152.83</v>
      </c>
      <c r="K682" s="666"/>
      <c r="L682" s="666"/>
      <c r="M682" s="415">
        <f>SUM(H682:L682)</f>
        <v>2755152.83</v>
      </c>
      <c r="N682" s="666"/>
      <c r="O682" s="666"/>
      <c r="P682" s="170"/>
      <c r="Q682" s="666"/>
      <c r="R682" s="666"/>
      <c r="S682" s="152">
        <f t="shared" si="155"/>
        <v>0</v>
      </c>
      <c r="T682" s="666"/>
      <c r="U682" s="666"/>
      <c r="V682" s="174">
        <f>+J682-P682</f>
        <v>2755152.83</v>
      </c>
      <c r="W682" s="666"/>
      <c r="X682" s="666"/>
      <c r="Y682" s="152"/>
      <c r="Z682" s="420"/>
      <c r="AA682" s="420"/>
      <c r="AB682" s="420"/>
      <c r="AC682" s="420"/>
      <c r="AD682" s="420"/>
      <c r="AE682" s="420"/>
    </row>
    <row r="683" spans="2:37" ht="47.25">
      <c r="B683" s="25">
        <v>59</v>
      </c>
      <c r="C683" s="675" t="s">
        <v>1103</v>
      </c>
      <c r="D683" s="678" t="s">
        <v>981</v>
      </c>
      <c r="E683" s="679" t="s">
        <v>682</v>
      </c>
      <c r="F683" s="688" t="s">
        <v>1444</v>
      </c>
      <c r="G683" s="782"/>
      <c r="H683" s="666"/>
      <c r="I683" s="390"/>
      <c r="J683" s="170">
        <v>3820639.7</v>
      </c>
      <c r="K683" s="666"/>
      <c r="L683" s="666"/>
      <c r="M683" s="415">
        <f>SUM(H683:L683)</f>
        <v>3820639.7</v>
      </c>
      <c r="N683" s="666"/>
      <c r="O683" s="666"/>
      <c r="P683" s="170"/>
      <c r="Q683" s="666"/>
      <c r="R683" s="666"/>
      <c r="S683" s="152">
        <f>SUM(N683:R683)</f>
        <v>0</v>
      </c>
      <c r="T683" s="666"/>
      <c r="U683" s="666"/>
      <c r="V683" s="174">
        <f>+J683-P683</f>
        <v>3820639.7</v>
      </c>
      <c r="W683" s="666"/>
      <c r="X683" s="666"/>
      <c r="Y683" s="152"/>
      <c r="Z683" s="420"/>
      <c r="AA683" s="420"/>
      <c r="AB683" s="420"/>
      <c r="AC683" s="420"/>
      <c r="AD683" s="420"/>
      <c r="AE683" s="420"/>
    </row>
    <row r="684" spans="2:37" ht="15.75">
      <c r="B684" s="351" t="s">
        <v>29</v>
      </c>
      <c r="C684" s="352"/>
      <c r="D684" s="403" t="s">
        <v>430</v>
      </c>
      <c r="E684" s="403" t="s">
        <v>29</v>
      </c>
      <c r="F684" s="573" t="s">
        <v>29</v>
      </c>
      <c r="G684" s="775"/>
      <c r="H684" s="147">
        <f>SUM(H574:H629)</f>
        <v>0</v>
      </c>
      <c r="I684" s="147">
        <f>SUM(I574:I629)</f>
        <v>0</v>
      </c>
      <c r="J684" s="147">
        <f>SUM(J574:J683)</f>
        <v>75550303.210000008</v>
      </c>
      <c r="K684" s="147">
        <f t="shared" ref="K684:O684" si="156">SUM(K574:K683)</f>
        <v>0</v>
      </c>
      <c r="L684" s="147">
        <f t="shared" si="156"/>
        <v>0</v>
      </c>
      <c r="M684" s="147">
        <f t="shared" si="156"/>
        <v>66338600.030000009</v>
      </c>
      <c r="N684" s="147">
        <f t="shared" si="156"/>
        <v>0</v>
      </c>
      <c r="O684" s="147">
        <f t="shared" si="156"/>
        <v>0</v>
      </c>
      <c r="P684" s="147">
        <f>SUM(P574:P683)</f>
        <v>26384605.670000006</v>
      </c>
      <c r="Q684" s="147">
        <f t="shared" ref="Q684:AE684" si="157">SUM(Q574:Q683)</f>
        <v>0</v>
      </c>
      <c r="R684" s="147">
        <f t="shared" si="157"/>
        <v>0</v>
      </c>
      <c r="S684" s="147">
        <f t="shared" si="157"/>
        <v>26384605.670000006</v>
      </c>
      <c r="T684" s="147">
        <f t="shared" si="157"/>
        <v>0</v>
      </c>
      <c r="U684" s="147">
        <f t="shared" si="157"/>
        <v>0</v>
      </c>
      <c r="V684" s="147">
        <f t="shared" si="157"/>
        <v>48726561.810000017</v>
      </c>
      <c r="W684" s="147">
        <f t="shared" si="157"/>
        <v>0</v>
      </c>
      <c r="X684" s="147">
        <f t="shared" si="157"/>
        <v>0</v>
      </c>
      <c r="Y684" s="147">
        <f t="shared" si="157"/>
        <v>33474938.220000021</v>
      </c>
      <c r="Z684" s="147">
        <f t="shared" si="157"/>
        <v>2888555.8200000003</v>
      </c>
      <c r="AA684" s="147">
        <f t="shared" si="157"/>
        <v>2804970.2</v>
      </c>
      <c r="AB684" s="147">
        <f t="shared" si="157"/>
        <v>43702841.909999989</v>
      </c>
      <c r="AC684" s="147">
        <f t="shared" si="157"/>
        <v>23571540</v>
      </c>
      <c r="AD684" s="147">
        <f t="shared" si="157"/>
        <v>0</v>
      </c>
      <c r="AE684" s="147">
        <f t="shared" si="157"/>
        <v>72967907.929999977</v>
      </c>
      <c r="AK684" s="719">
        <f>SUM(AK574:AK683)</f>
        <v>424908.68000000028</v>
      </c>
    </row>
    <row r="685" spans="2:37" ht="30">
      <c r="B685" s="200"/>
      <c r="C685" s="343"/>
      <c r="D685" s="200"/>
      <c r="E685"/>
      <c r="F685" s="563"/>
      <c r="G685" s="344"/>
      <c r="H685"/>
      <c r="I685" s="386"/>
      <c r="J685" s="200"/>
      <c r="K685"/>
      <c r="L685"/>
      <c r="M685" s="386"/>
      <c r="N685"/>
      <c r="O685"/>
      <c r="P685" s="200"/>
      <c r="Q685" s="200"/>
    </row>
    <row r="686" spans="2:37" ht="27">
      <c r="B686" s="1023" t="s">
        <v>431</v>
      </c>
      <c r="C686" s="1023"/>
      <c r="D686" s="1023"/>
      <c r="E686" s="694"/>
      <c r="F686" s="694"/>
      <c r="G686" s="783"/>
      <c r="H686" s="694"/>
      <c r="I686" s="694"/>
      <c r="J686" s="694"/>
      <c r="K686" s="694"/>
      <c r="L686" s="694"/>
      <c r="M686" s="694"/>
      <c r="N686" s="694"/>
      <c r="O686" s="694"/>
      <c r="P686" s="694"/>
      <c r="Q686" s="694"/>
      <c r="R686" s="694"/>
      <c r="S686" s="694"/>
      <c r="T686" s="694"/>
      <c r="U686" s="694"/>
      <c r="V686" s="694"/>
      <c r="W686" s="694"/>
      <c r="X686" s="694"/>
      <c r="Y686" s="694"/>
      <c r="Z686" s="694"/>
      <c r="AA686" s="694"/>
      <c r="AB686" s="694"/>
      <c r="AC686" s="694"/>
      <c r="AD686" s="694"/>
      <c r="AE686" s="694"/>
    </row>
    <row r="687" spans="2:37" ht="15.75">
      <c r="B687" s="214" t="s">
        <v>29</v>
      </c>
      <c r="C687" s="214"/>
      <c r="D687" s="346"/>
      <c r="E687" s="346"/>
      <c r="F687" s="574"/>
      <c r="G687" s="737"/>
      <c r="H687" s="346"/>
      <c r="I687" s="346"/>
      <c r="J687" s="215">
        <f>SUM(J688:J694)</f>
        <v>1660774.8599999999</v>
      </c>
      <c r="K687" s="215" t="s">
        <v>29</v>
      </c>
      <c r="L687" s="215" t="s">
        <v>29</v>
      </c>
      <c r="M687" s="215" t="s">
        <v>29</v>
      </c>
      <c r="N687" s="215" t="s">
        <v>29</v>
      </c>
      <c r="O687" s="215" t="s">
        <v>29</v>
      </c>
      <c r="P687" s="215" t="s">
        <v>29</v>
      </c>
      <c r="Q687" s="215" t="s">
        <v>29</v>
      </c>
      <c r="R687" s="215" t="s">
        <v>29</v>
      </c>
      <c r="S687" s="215" t="s">
        <v>29</v>
      </c>
      <c r="T687" s="215" t="s">
        <v>29</v>
      </c>
      <c r="U687" s="215" t="s">
        <v>29</v>
      </c>
      <c r="V687" s="215" t="s">
        <v>29</v>
      </c>
      <c r="W687" s="215" t="s">
        <v>29</v>
      </c>
      <c r="X687" s="215" t="s">
        <v>29</v>
      </c>
      <c r="Y687" s="215" t="s">
        <v>29</v>
      </c>
      <c r="Z687" s="215" t="s">
        <v>29</v>
      </c>
      <c r="AA687" s="215" t="s">
        <v>29</v>
      </c>
      <c r="AB687" s="215" t="s">
        <v>29</v>
      </c>
      <c r="AC687" s="215" t="s">
        <v>29</v>
      </c>
      <c r="AD687" s="215" t="s">
        <v>29</v>
      </c>
      <c r="AE687" s="215" t="s">
        <v>29</v>
      </c>
    </row>
    <row r="688" spans="2:37" ht="30">
      <c r="B688" s="173">
        <v>1</v>
      </c>
      <c r="C688" s="178" t="s">
        <v>271</v>
      </c>
      <c r="D688" s="148" t="s">
        <v>335</v>
      </c>
      <c r="E688" s="666"/>
      <c r="F688" s="560"/>
      <c r="G688" s="558"/>
      <c r="H688" s="666"/>
      <c r="I688" s="390"/>
      <c r="J688" s="174">
        <v>0</v>
      </c>
      <c r="K688" s="666"/>
      <c r="L688" s="666"/>
      <c r="M688" s="415">
        <f>SUM(H688:L688)</f>
        <v>0</v>
      </c>
      <c r="N688" s="666"/>
      <c r="O688" s="666"/>
      <c r="P688" s="174"/>
      <c r="Q688" s="666"/>
      <c r="R688" s="666"/>
      <c r="S688" s="152">
        <f>SUM(N688:R688)</f>
        <v>0</v>
      </c>
      <c r="T688" s="666"/>
      <c r="U688" s="666"/>
      <c r="V688" s="174">
        <f>+J688-P688</f>
        <v>0</v>
      </c>
      <c r="W688" s="666"/>
      <c r="X688" s="666"/>
      <c r="Y688" s="152">
        <f>SUM(T688:X688)</f>
        <v>0</v>
      </c>
      <c r="Z688" s="666"/>
      <c r="AA688" s="666"/>
      <c r="AB688" s="666"/>
      <c r="AC688" s="666"/>
      <c r="AD688" s="666"/>
      <c r="AE688" s="666"/>
    </row>
    <row r="689" spans="2:31" ht="31.5">
      <c r="B689" s="173">
        <v>1.1000000000000001</v>
      </c>
      <c r="C689" s="178" t="s">
        <v>1338</v>
      </c>
      <c r="D689" s="148" t="s">
        <v>1339</v>
      </c>
      <c r="E689" s="666"/>
      <c r="F689" s="560"/>
      <c r="G689" s="558"/>
      <c r="H689" s="666"/>
      <c r="I689" s="390"/>
      <c r="J689" s="174">
        <v>135111.93</v>
      </c>
      <c r="K689" s="666"/>
      <c r="L689" s="666"/>
      <c r="M689" s="415"/>
      <c r="N689" s="666"/>
      <c r="O689" s="666"/>
      <c r="P689" s="174">
        <v>104149.78</v>
      </c>
      <c r="Q689" s="666"/>
      <c r="R689" s="666"/>
      <c r="S689" s="152">
        <f t="shared" ref="S689:S694" si="158">SUM(N689:R689)</f>
        <v>104149.78</v>
      </c>
      <c r="T689" s="666"/>
      <c r="U689" s="666"/>
      <c r="V689" s="174">
        <f t="shared" ref="V689:V692" si="159">+J689-P689</f>
        <v>30962.149999999994</v>
      </c>
      <c r="W689" s="666"/>
      <c r="X689" s="666"/>
      <c r="Y689" s="152"/>
      <c r="Z689" s="666"/>
      <c r="AA689" s="666"/>
      <c r="AB689" s="666"/>
      <c r="AC689" s="666"/>
      <c r="AD689" s="666"/>
      <c r="AE689" s="666"/>
    </row>
    <row r="690" spans="2:31" ht="346.5">
      <c r="B690" s="173">
        <v>1.2</v>
      </c>
      <c r="C690" s="178" t="s">
        <v>1340</v>
      </c>
      <c r="D690" s="148" t="s">
        <v>1341</v>
      </c>
      <c r="E690" s="666"/>
      <c r="F690" s="560"/>
      <c r="G690" s="558"/>
      <c r="H690" s="666"/>
      <c r="I690" s="390"/>
      <c r="J690" s="174">
        <v>34817.379999999997</v>
      </c>
      <c r="K690" s="666"/>
      <c r="L690" s="666"/>
      <c r="M690" s="415"/>
      <c r="N690" s="666"/>
      <c r="O690" s="666"/>
      <c r="P690" s="174">
        <v>35127.919999999998</v>
      </c>
      <c r="Q690" s="666"/>
      <c r="R690" s="666"/>
      <c r="S690" s="152">
        <f t="shared" si="158"/>
        <v>35127.919999999998</v>
      </c>
      <c r="T690" s="666"/>
      <c r="U690" s="666"/>
      <c r="V690" s="174">
        <f t="shared" si="159"/>
        <v>-310.54000000000087</v>
      </c>
      <c r="W690" s="666"/>
      <c r="X690" s="666"/>
      <c r="Y690" s="152"/>
      <c r="Z690" s="666"/>
      <c r="AA690" s="666"/>
      <c r="AB690" s="666"/>
      <c r="AC690" s="666"/>
      <c r="AD690" s="666"/>
      <c r="AE690" s="666"/>
    </row>
    <row r="691" spans="2:31" ht="94.5">
      <c r="B691" s="173">
        <v>1.3</v>
      </c>
      <c r="C691" s="178" t="s">
        <v>1335</v>
      </c>
      <c r="D691" s="148" t="s">
        <v>1336</v>
      </c>
      <c r="E691" s="666"/>
      <c r="F691" s="560"/>
      <c r="G691" s="558"/>
      <c r="H691" s="666"/>
      <c r="I691" s="390"/>
      <c r="J691" s="174">
        <v>113864.28</v>
      </c>
      <c r="K691" s="666"/>
      <c r="L691" s="666"/>
      <c r="M691" s="415"/>
      <c r="N691" s="666"/>
      <c r="O691" s="666"/>
      <c r="P691" s="174">
        <v>93269.07</v>
      </c>
      <c r="Q691" s="666"/>
      <c r="R691" s="666"/>
      <c r="S691" s="152">
        <f t="shared" si="158"/>
        <v>93269.07</v>
      </c>
      <c r="T691" s="666"/>
      <c r="U691" s="666"/>
      <c r="V691" s="174">
        <f t="shared" si="159"/>
        <v>20595.209999999992</v>
      </c>
      <c r="W691" s="666"/>
      <c r="X691" s="666"/>
      <c r="Y691" s="152"/>
      <c r="Z691" s="666"/>
      <c r="AA691" s="666"/>
      <c r="AB691" s="666"/>
      <c r="AC691" s="666"/>
      <c r="AD691" s="666"/>
      <c r="AE691" s="666"/>
    </row>
    <row r="692" spans="2:31" ht="183.6" customHeight="1">
      <c r="B692" s="173">
        <v>1.4</v>
      </c>
      <c r="C692" s="178" t="s">
        <v>1306</v>
      </c>
      <c r="D692" s="148" t="s">
        <v>1207</v>
      </c>
      <c r="E692" s="666"/>
      <c r="F692" s="560"/>
      <c r="G692" s="558"/>
      <c r="H692" s="666"/>
      <c r="I692" s="390"/>
      <c r="J692" s="174">
        <v>16215</v>
      </c>
      <c r="K692" s="666"/>
      <c r="L692" s="666"/>
      <c r="M692" s="415"/>
      <c r="N692" s="666"/>
      <c r="O692" s="666"/>
      <c r="P692" s="174"/>
      <c r="Q692" s="666"/>
      <c r="R692" s="666"/>
      <c r="S692" s="152">
        <f t="shared" si="158"/>
        <v>0</v>
      </c>
      <c r="T692" s="666"/>
      <c r="U692" s="666"/>
      <c r="V692" s="174">
        <f t="shared" si="159"/>
        <v>16215</v>
      </c>
      <c r="W692" s="666"/>
      <c r="X692" s="666"/>
      <c r="Y692" s="152"/>
      <c r="Z692" s="666"/>
      <c r="AA692" s="666"/>
      <c r="AB692" s="666"/>
      <c r="AC692" s="666"/>
      <c r="AD692" s="666"/>
      <c r="AE692" s="666"/>
    </row>
    <row r="693" spans="2:31" ht="63">
      <c r="B693" s="193">
        <v>2</v>
      </c>
      <c r="C693" s="216" t="s">
        <v>432</v>
      </c>
      <c r="D693" s="148" t="s">
        <v>433</v>
      </c>
      <c r="E693" s="666"/>
      <c r="F693" s="560"/>
      <c r="G693" s="558"/>
      <c r="H693" s="666"/>
      <c r="I693" s="390"/>
      <c r="J693" s="174">
        <f>700000+338.05</f>
        <v>700338.05</v>
      </c>
      <c r="K693" s="666"/>
      <c r="L693" s="666"/>
      <c r="M693" s="415">
        <f t="shared" ref="M693:M694" si="160">SUM(H693:L693)</f>
        <v>700338.05</v>
      </c>
      <c r="N693" s="666"/>
      <c r="O693" s="666"/>
      <c r="P693" s="174">
        <f>111207.82+376532.57+43620.6+165.51+144791.88</f>
        <v>676318.38</v>
      </c>
      <c r="Q693" s="666"/>
      <c r="R693" s="666"/>
      <c r="S693" s="152">
        <f t="shared" si="158"/>
        <v>676318.38</v>
      </c>
      <c r="T693" s="666"/>
      <c r="U693" s="666"/>
      <c r="V693" s="383">
        <f>+J693-P693</f>
        <v>24019.670000000042</v>
      </c>
      <c r="W693" s="666"/>
      <c r="X693" s="666"/>
      <c r="Y693" s="152">
        <f t="shared" ref="Y693:Y694" si="161">SUM(T693:X693)</f>
        <v>24019.670000000042</v>
      </c>
      <c r="Z693" s="666"/>
      <c r="AA693" s="666"/>
      <c r="AB693" s="420">
        <v>690087.35</v>
      </c>
      <c r="AC693" s="666"/>
      <c r="AD693" s="666"/>
      <c r="AE693" s="666"/>
    </row>
    <row r="694" spans="2:31" ht="31.5">
      <c r="B694" s="173">
        <v>3</v>
      </c>
      <c r="C694" s="216" t="s">
        <v>245</v>
      </c>
      <c r="D694" s="367" t="s">
        <v>434</v>
      </c>
      <c r="E694" s="666"/>
      <c r="F694" s="560"/>
      <c r="G694" s="558"/>
      <c r="H694" s="666"/>
      <c r="I694" s="390"/>
      <c r="J694" s="174">
        <v>660428.22</v>
      </c>
      <c r="K694" s="666"/>
      <c r="L694" s="666"/>
      <c r="M694" s="415">
        <f t="shared" si="160"/>
        <v>660428.22</v>
      </c>
      <c r="N694" s="666"/>
      <c r="O694" s="666"/>
      <c r="P694" s="174">
        <v>660428.22</v>
      </c>
      <c r="Q694" s="666"/>
      <c r="R694" s="666"/>
      <c r="S694" s="152">
        <f t="shared" si="158"/>
        <v>660428.22</v>
      </c>
      <c r="T694" s="666"/>
      <c r="U694" s="666"/>
      <c r="V694" s="174">
        <f>+J694-P694</f>
        <v>0</v>
      </c>
      <c r="W694" s="666"/>
      <c r="X694" s="666"/>
      <c r="Y694" s="152">
        <f t="shared" si="161"/>
        <v>0</v>
      </c>
      <c r="Z694" s="666"/>
      <c r="AA694" s="666"/>
      <c r="AB694" s="666"/>
      <c r="AC694" s="666"/>
      <c r="AD694" s="666"/>
      <c r="AE694" s="666"/>
    </row>
    <row r="695" spans="2:31" ht="15.75">
      <c r="B695" s="351" t="s">
        <v>29</v>
      </c>
      <c r="C695" s="352"/>
      <c r="D695" s="403" t="s">
        <v>435</v>
      </c>
      <c r="E695" s="403" t="s">
        <v>29</v>
      </c>
      <c r="F695" s="573" t="s">
        <v>843</v>
      </c>
      <c r="G695" s="784"/>
      <c r="H695" s="403" t="s">
        <v>29</v>
      </c>
      <c r="I695" s="403" t="s">
        <v>29</v>
      </c>
      <c r="J695" s="404">
        <f>SUM(J688:J694)</f>
        <v>1660774.8599999999</v>
      </c>
      <c r="K695" s="404">
        <f t="shared" ref="K695:AE695" si="162">SUM(K688:K694)</f>
        <v>0</v>
      </c>
      <c r="L695" s="404">
        <f t="shared" si="162"/>
        <v>0</v>
      </c>
      <c r="M695" s="404">
        <f>SUM(M688:M694)</f>
        <v>1360766.27</v>
      </c>
      <c r="N695" s="404">
        <f t="shared" si="162"/>
        <v>0</v>
      </c>
      <c r="O695" s="404">
        <f t="shared" si="162"/>
        <v>0</v>
      </c>
      <c r="P695" s="404">
        <f t="shared" si="162"/>
        <v>1569293.37</v>
      </c>
      <c r="Q695" s="404">
        <f t="shared" si="162"/>
        <v>0</v>
      </c>
      <c r="R695" s="404">
        <f t="shared" si="162"/>
        <v>0</v>
      </c>
      <c r="S695" s="404">
        <f t="shared" si="162"/>
        <v>1569293.37</v>
      </c>
      <c r="T695" s="404">
        <f t="shared" si="162"/>
        <v>0</v>
      </c>
      <c r="U695" s="404">
        <f t="shared" si="162"/>
        <v>0</v>
      </c>
      <c r="V695" s="404">
        <f>SUM(V688:V694)</f>
        <v>91481.49000000002</v>
      </c>
      <c r="W695" s="404">
        <f t="shared" si="162"/>
        <v>0</v>
      </c>
      <c r="X695" s="404">
        <f t="shared" si="162"/>
        <v>0</v>
      </c>
      <c r="Y695" s="404">
        <f t="shared" si="162"/>
        <v>24019.670000000042</v>
      </c>
      <c r="Z695" s="404">
        <f t="shared" si="162"/>
        <v>0</v>
      </c>
      <c r="AA695" s="404">
        <f t="shared" si="162"/>
        <v>0</v>
      </c>
      <c r="AB695" s="404">
        <f t="shared" si="162"/>
        <v>690087.35</v>
      </c>
      <c r="AC695" s="404">
        <f t="shared" si="162"/>
        <v>0</v>
      </c>
      <c r="AD695" s="404">
        <f t="shared" si="162"/>
        <v>0</v>
      </c>
      <c r="AE695" s="404">
        <f t="shared" si="162"/>
        <v>0</v>
      </c>
    </row>
    <row r="696" spans="2:31" ht="30">
      <c r="B696" s="355"/>
      <c r="C696" s="64"/>
      <c r="D696" s="356"/>
      <c r="E696"/>
      <c r="F696" s="563"/>
      <c r="G696" s="344"/>
      <c r="H696"/>
      <c r="I696" s="386"/>
      <c r="J696" s="357"/>
      <c r="K696"/>
      <c r="L696"/>
      <c r="M696" s="386"/>
      <c r="N696"/>
      <c r="O696"/>
      <c r="P696" s="357"/>
      <c r="Q696" s="357"/>
    </row>
    <row r="697" spans="2:31" ht="30">
      <c r="B697" s="355"/>
      <c r="C697" s="64"/>
      <c r="D697" s="358" t="s">
        <v>835</v>
      </c>
      <c r="E697"/>
      <c r="F697" s="563"/>
      <c r="G697" s="344"/>
      <c r="H697"/>
      <c r="I697" s="386"/>
      <c r="J697" s="359">
        <f>J573+J687</f>
        <v>70635285.540000007</v>
      </c>
      <c r="K697"/>
      <c r="L697"/>
      <c r="M697" s="386"/>
      <c r="N697"/>
      <c r="O697"/>
      <c r="P697" s="357"/>
      <c r="Q697" s="357"/>
    </row>
    <row r="698" spans="2:31" ht="30">
      <c r="B698" s="200"/>
      <c r="C698" s="343"/>
      <c r="D698" s="200"/>
      <c r="E698"/>
      <c r="F698" s="563"/>
      <c r="G698" s="344"/>
      <c r="H698"/>
      <c r="I698" s="386"/>
      <c r="J698" s="200"/>
      <c r="K698"/>
      <c r="L698"/>
      <c r="M698" s="386"/>
      <c r="N698"/>
      <c r="O698"/>
      <c r="P698" s="200"/>
      <c r="Q698" s="200"/>
    </row>
    <row r="699" spans="2:31" ht="15.75">
      <c r="B699" s="200"/>
      <c r="C699" s="343"/>
      <c r="D699" s="412" t="s">
        <v>844</v>
      </c>
      <c r="E699" s="412"/>
      <c r="F699" s="577"/>
      <c r="G699" s="785"/>
      <c r="H699" s="413">
        <f>+H459+H470+H477</f>
        <v>46125913.13000001</v>
      </c>
      <c r="I699" s="413">
        <f>+I549+I564+I569</f>
        <v>55669431.769999988</v>
      </c>
      <c r="J699" s="413">
        <f>+J684+J695</f>
        <v>77211078.070000008</v>
      </c>
      <c r="K699" s="412"/>
      <c r="L699" s="412"/>
      <c r="M699" s="414">
        <f>+H699+I699+J699</f>
        <v>179006422.97000003</v>
      </c>
      <c r="N699"/>
      <c r="O699"/>
      <c r="P699" s="359"/>
      <c r="Q699" s="359"/>
    </row>
    <row r="700" spans="2:31" ht="30">
      <c r="D700" s="386"/>
      <c r="E700" s="386"/>
      <c r="F700" s="386"/>
      <c r="G700" s="760"/>
      <c r="H700" s="386"/>
      <c r="I700" s="386"/>
      <c r="J700" s="386"/>
      <c r="K700" s="386"/>
      <c r="L700" s="386"/>
      <c r="M700" s="386"/>
      <c r="N700"/>
      <c r="O700"/>
      <c r="P700"/>
    </row>
    <row r="701" spans="2:31" ht="27">
      <c r="B701" s="1023" t="s">
        <v>532</v>
      </c>
      <c r="C701" s="1023"/>
      <c r="D701" s="1023"/>
      <c r="E701" s="1023"/>
      <c r="F701" s="225"/>
      <c r="G701" s="770"/>
    </row>
    <row r="702" spans="2:31" ht="15.75">
      <c r="B702" s="214"/>
      <c r="C702" s="214"/>
      <c r="D702" s="257"/>
      <c r="E702" s="215"/>
      <c r="F702" s="570"/>
      <c r="G702" s="771"/>
      <c r="H702"/>
    </row>
    <row r="703" spans="2:31" ht="30">
      <c r="B703" s="220">
        <v>1</v>
      </c>
      <c r="C703" s="216" t="s">
        <v>533</v>
      </c>
      <c r="D703" s="259" t="s">
        <v>534</v>
      </c>
      <c r="E703" s="666"/>
      <c r="F703" s="560"/>
      <c r="G703" s="558"/>
      <c r="H703" s="666"/>
      <c r="I703" s="143"/>
      <c r="J703" s="213">
        <v>246176.95</v>
      </c>
      <c r="K703" s="143"/>
      <c r="L703" s="143"/>
      <c r="M703" s="143">
        <f>SUM(H703:L703)</f>
        <v>246176.95</v>
      </c>
      <c r="N703" s="207"/>
      <c r="O703" s="207"/>
      <c r="P703" s="207"/>
      <c r="Q703" s="206"/>
      <c r="R703" s="206"/>
      <c r="S703" s="206">
        <f>SUM(N703:R703)</f>
        <v>0</v>
      </c>
      <c r="T703" s="666"/>
      <c r="U703" s="666"/>
      <c r="V703" s="206">
        <f>+J703-P703</f>
        <v>246176.95</v>
      </c>
      <c r="W703" s="666"/>
      <c r="X703" s="666"/>
      <c r="Y703" s="666"/>
      <c r="Z703" s="666"/>
      <c r="AA703" s="666"/>
      <c r="AB703" s="666"/>
      <c r="AC703" s="666"/>
      <c r="AD703" s="666"/>
      <c r="AE703" s="666"/>
    </row>
    <row r="704" spans="2:31" ht="45">
      <c r="B704" s="220">
        <f>+B703+1</f>
        <v>2</v>
      </c>
      <c r="C704" s="216" t="s">
        <v>535</v>
      </c>
      <c r="D704" s="259" t="s">
        <v>536</v>
      </c>
      <c r="E704" s="666"/>
      <c r="F704" s="560"/>
      <c r="G704" s="558"/>
      <c r="H704" s="666"/>
      <c r="I704" s="143"/>
      <c r="J704" s="213">
        <v>75800.44</v>
      </c>
      <c r="K704" s="143"/>
      <c r="L704" s="143"/>
      <c r="M704" s="143">
        <f t="shared" ref="M704:M746" si="163">SUM(H704:L704)</f>
        <v>75800.44</v>
      </c>
      <c r="N704" s="207"/>
      <c r="O704" s="207"/>
      <c r="P704" s="207">
        <v>75800.44</v>
      </c>
      <c r="Q704" s="206"/>
      <c r="R704" s="206"/>
      <c r="S704" s="206">
        <f t="shared" ref="S704:S746" si="164">SUM(N704:R704)</f>
        <v>75800.44</v>
      </c>
      <c r="T704" s="666"/>
      <c r="U704" s="666"/>
      <c r="V704" s="206">
        <f t="shared" ref="V704:V746" si="165">+J704-P704</f>
        <v>0</v>
      </c>
      <c r="W704" s="666"/>
      <c r="X704" s="666"/>
      <c r="Y704" s="666"/>
      <c r="Z704" s="666"/>
      <c r="AA704" s="666"/>
      <c r="AB704" s="666"/>
      <c r="AC704" s="666"/>
      <c r="AD704" s="666"/>
      <c r="AE704" s="666"/>
    </row>
    <row r="705" spans="2:31" ht="30">
      <c r="B705" s="220">
        <f t="shared" ref="B705:B740" si="166">+B704+1</f>
        <v>3</v>
      </c>
      <c r="C705" s="216" t="s">
        <v>537</v>
      </c>
      <c r="D705" s="259" t="s">
        <v>538</v>
      </c>
      <c r="E705" s="666"/>
      <c r="F705" s="560"/>
      <c r="G705" s="558"/>
      <c r="H705" s="666"/>
      <c r="I705" s="143"/>
      <c r="J705" s="213">
        <v>710447.56</v>
      </c>
      <c r="K705" s="143"/>
      <c r="L705" s="143"/>
      <c r="M705" s="143">
        <f t="shared" si="163"/>
        <v>710447.56</v>
      </c>
      <c r="N705" s="207"/>
      <c r="O705" s="207"/>
      <c r="P705" s="207">
        <f>251814.94+14395.98+148474.05+0+295762.59</f>
        <v>710447.56</v>
      </c>
      <c r="Q705" s="206"/>
      <c r="R705" s="206"/>
      <c r="S705" s="206">
        <f t="shared" si="164"/>
        <v>710447.56</v>
      </c>
      <c r="T705" s="666"/>
      <c r="U705" s="666"/>
      <c r="V705" s="206">
        <f t="shared" si="165"/>
        <v>0</v>
      </c>
      <c r="W705" s="666"/>
      <c r="X705" s="666"/>
      <c r="Y705" s="666"/>
      <c r="Z705" s="666"/>
      <c r="AA705" s="666"/>
      <c r="AB705" s="666"/>
      <c r="AC705" s="666"/>
      <c r="AD705" s="666"/>
      <c r="AE705" s="666"/>
    </row>
    <row r="706" spans="2:31" ht="30">
      <c r="B706" s="220">
        <f t="shared" si="166"/>
        <v>4</v>
      </c>
      <c r="C706" s="216" t="s">
        <v>539</v>
      </c>
      <c r="D706" s="259" t="s">
        <v>540</v>
      </c>
      <c r="E706" s="666"/>
      <c r="F706" s="560"/>
      <c r="G706" s="558"/>
      <c r="H706" s="666"/>
      <c r="I706" s="143"/>
      <c r="J706" s="213">
        <v>725001.38</v>
      </c>
      <c r="K706" s="143"/>
      <c r="L706" s="143"/>
      <c r="M706" s="143">
        <f t="shared" si="163"/>
        <v>725001.38</v>
      </c>
      <c r="N706" s="207"/>
      <c r="O706" s="207"/>
      <c r="P706" s="207">
        <f>73457.43+159846.05+70516.68+150085.95+17097.25</f>
        <v>471003.36</v>
      </c>
      <c r="Q706" s="206"/>
      <c r="R706" s="206"/>
      <c r="S706" s="206">
        <f t="shared" si="164"/>
        <v>471003.36</v>
      </c>
      <c r="T706" s="666"/>
      <c r="U706" s="666"/>
      <c r="V706" s="206">
        <f t="shared" si="165"/>
        <v>253998.02000000002</v>
      </c>
      <c r="W706" s="666"/>
      <c r="X706" s="666"/>
      <c r="Y706" s="666"/>
      <c r="Z706" s="666"/>
      <c r="AA706" s="666"/>
      <c r="AB706" s="666"/>
      <c r="AC706" s="666"/>
      <c r="AD706" s="666"/>
      <c r="AE706" s="666"/>
    </row>
    <row r="707" spans="2:31" ht="30">
      <c r="B707" s="220">
        <f t="shared" si="166"/>
        <v>5</v>
      </c>
      <c r="C707" s="216" t="s">
        <v>541</v>
      </c>
      <c r="D707" s="259" t="s">
        <v>542</v>
      </c>
      <c r="E707" s="666"/>
      <c r="F707" s="560"/>
      <c r="G707" s="558"/>
      <c r="H707" s="666"/>
      <c r="I707" s="143"/>
      <c r="J707" s="213">
        <v>2063274.64</v>
      </c>
      <c r="K707" s="143"/>
      <c r="L707" s="143"/>
      <c r="M707" s="143">
        <f t="shared" si="163"/>
        <v>2063274.64</v>
      </c>
      <c r="N707" s="207"/>
      <c r="O707" s="207"/>
      <c r="P707" s="207">
        <f>104953.57+146456.09+197884.27+418984.66+207832.46+987163.59</f>
        <v>2063274.6400000001</v>
      </c>
      <c r="Q707" s="206"/>
      <c r="R707" s="206"/>
      <c r="S707" s="206">
        <f t="shared" si="164"/>
        <v>2063274.6400000001</v>
      </c>
      <c r="T707" s="666"/>
      <c r="U707" s="666"/>
      <c r="V707" s="206">
        <f t="shared" si="165"/>
        <v>0</v>
      </c>
      <c r="W707" s="666"/>
      <c r="X707" s="666"/>
      <c r="Y707" s="666"/>
      <c r="Z707" s="666"/>
      <c r="AA707" s="666"/>
      <c r="AB707" s="666"/>
      <c r="AC707" s="666"/>
      <c r="AD707" s="666"/>
      <c r="AE707" s="666"/>
    </row>
    <row r="708" spans="2:31" ht="30">
      <c r="B708" s="220">
        <f t="shared" si="166"/>
        <v>6</v>
      </c>
      <c r="C708" s="216" t="s">
        <v>543</v>
      </c>
      <c r="D708" s="259" t="s">
        <v>544</v>
      </c>
      <c r="E708" s="666"/>
      <c r="F708" s="560"/>
      <c r="G708" s="558"/>
      <c r="H708" s="666"/>
      <c r="I708" s="143"/>
      <c r="J708" s="213">
        <v>2744161.67</v>
      </c>
      <c r="K708" s="143"/>
      <c r="L708" s="143"/>
      <c r="M708" s="143">
        <f t="shared" si="163"/>
        <v>2744161.67</v>
      </c>
      <c r="N708" s="207"/>
      <c r="O708" s="207"/>
      <c r="P708" s="207">
        <f>245157.64+268499.47+192448.25+551980.17</f>
        <v>1258085.53</v>
      </c>
      <c r="Q708" s="206"/>
      <c r="R708" s="206"/>
      <c r="S708" s="206">
        <f t="shared" si="164"/>
        <v>1258085.53</v>
      </c>
      <c r="T708" s="666"/>
      <c r="U708" s="666"/>
      <c r="V708" s="206">
        <f t="shared" si="165"/>
        <v>1486076.14</v>
      </c>
      <c r="W708" s="666"/>
      <c r="X708" s="666"/>
      <c r="Y708" s="666"/>
      <c r="Z708" s="666"/>
      <c r="AA708" s="666"/>
      <c r="AB708" s="666"/>
      <c r="AC708" s="666"/>
      <c r="AD708" s="666"/>
      <c r="AE708" s="666"/>
    </row>
    <row r="709" spans="2:31" ht="30">
      <c r="B709" s="220">
        <f t="shared" si="166"/>
        <v>7</v>
      </c>
      <c r="C709" s="216" t="s">
        <v>545</v>
      </c>
      <c r="D709" s="259" t="s">
        <v>546</v>
      </c>
      <c r="E709" s="666"/>
      <c r="F709" s="560"/>
      <c r="G709" s="558"/>
      <c r="H709" s="666"/>
      <c r="I709" s="143"/>
      <c r="J709" s="213">
        <v>830792.52</v>
      </c>
      <c r="K709" s="143"/>
      <c r="L709" s="143"/>
      <c r="M709" s="143">
        <f t="shared" si="163"/>
        <v>830792.52</v>
      </c>
      <c r="N709" s="207"/>
      <c r="O709" s="207"/>
      <c r="P709" s="207">
        <f>108156.74+109529.56+319668.19</f>
        <v>537354.49</v>
      </c>
      <c r="Q709" s="206"/>
      <c r="R709" s="206"/>
      <c r="S709" s="206">
        <f t="shared" si="164"/>
        <v>537354.49</v>
      </c>
      <c r="T709" s="666"/>
      <c r="U709" s="666"/>
      <c r="V709" s="206">
        <f t="shared" si="165"/>
        <v>293438.03000000003</v>
      </c>
      <c r="W709" s="666"/>
      <c r="X709" s="666"/>
      <c r="Y709" s="666"/>
      <c r="Z709" s="666"/>
      <c r="AA709" s="666"/>
      <c r="AB709" s="666"/>
      <c r="AC709" s="666"/>
      <c r="AD709" s="666"/>
      <c r="AE709" s="666"/>
    </row>
    <row r="710" spans="2:31" ht="30">
      <c r="B710" s="220">
        <f t="shared" si="166"/>
        <v>8</v>
      </c>
      <c r="C710" s="216" t="s">
        <v>547</v>
      </c>
      <c r="D710" s="259" t="s">
        <v>548</v>
      </c>
      <c r="E710" s="666"/>
      <c r="F710" s="560"/>
      <c r="G710" s="558"/>
      <c r="H710" s="666"/>
      <c r="I710" s="143"/>
      <c r="J710" s="213">
        <v>1809076.88</v>
      </c>
      <c r="K710" s="143"/>
      <c r="L710" s="143"/>
      <c r="M710" s="143">
        <f t="shared" si="163"/>
        <v>1809076.88</v>
      </c>
      <c r="N710" s="207"/>
      <c r="O710" s="207"/>
      <c r="P710" s="207">
        <f>411890.01+288494.39+1108692.48</f>
        <v>1809076.88</v>
      </c>
      <c r="Q710" s="206"/>
      <c r="R710" s="206"/>
      <c r="S710" s="206">
        <f t="shared" si="164"/>
        <v>1809076.88</v>
      </c>
      <c r="T710" s="666"/>
      <c r="U710" s="666"/>
      <c r="V710" s="206">
        <f t="shared" si="165"/>
        <v>0</v>
      </c>
      <c r="W710" s="666"/>
      <c r="X710" s="666"/>
      <c r="Y710" s="666"/>
      <c r="Z710" s="666"/>
      <c r="AA710" s="666"/>
      <c r="AB710" s="666"/>
      <c r="AC710" s="666"/>
      <c r="AD710" s="666"/>
      <c r="AE710" s="666"/>
    </row>
    <row r="711" spans="2:31" ht="45">
      <c r="B711" s="220">
        <f t="shared" si="166"/>
        <v>9</v>
      </c>
      <c r="C711" s="216" t="s">
        <v>549</v>
      </c>
      <c r="D711" s="259" t="s">
        <v>550</v>
      </c>
      <c r="E711" s="666"/>
      <c r="F711" s="560"/>
      <c r="G711" s="558"/>
      <c r="H711" s="666"/>
      <c r="I711" s="143"/>
      <c r="J711" s="213">
        <v>1610913.51</v>
      </c>
      <c r="K711" s="143"/>
      <c r="L711" s="143"/>
      <c r="M711" s="143">
        <f t="shared" si="163"/>
        <v>1610913.51</v>
      </c>
      <c r="N711" s="207"/>
      <c r="O711" s="207"/>
      <c r="P711" s="207">
        <f>525793.97+94766.76+844479.88</f>
        <v>1465040.6099999999</v>
      </c>
      <c r="Q711" s="206"/>
      <c r="R711" s="206"/>
      <c r="S711" s="206">
        <f t="shared" si="164"/>
        <v>1465040.6099999999</v>
      </c>
      <c r="T711" s="666"/>
      <c r="U711" s="666"/>
      <c r="V711" s="206">
        <f t="shared" si="165"/>
        <v>145872.90000000014</v>
      </c>
      <c r="W711" s="666"/>
      <c r="X711" s="666"/>
      <c r="Y711" s="666"/>
      <c r="Z711" s="666"/>
      <c r="AA711" s="666"/>
      <c r="AB711" s="666"/>
      <c r="AC711" s="666"/>
      <c r="AD711" s="666"/>
      <c r="AE711" s="666"/>
    </row>
    <row r="712" spans="2:31" ht="30">
      <c r="B712" s="220">
        <f t="shared" si="166"/>
        <v>10</v>
      </c>
      <c r="C712" s="216" t="s">
        <v>551</v>
      </c>
      <c r="D712" s="259" t="s">
        <v>552</v>
      </c>
      <c r="E712" s="666"/>
      <c r="F712" s="560"/>
      <c r="G712" s="558"/>
      <c r="H712" s="666"/>
      <c r="I712" s="143"/>
      <c r="J712" s="213">
        <v>361341.77</v>
      </c>
      <c r="K712" s="143"/>
      <c r="L712" s="143"/>
      <c r="M712" s="143">
        <f t="shared" si="163"/>
        <v>361341.77</v>
      </c>
      <c r="N712" s="207"/>
      <c r="O712" s="207"/>
      <c r="P712" s="207">
        <v>361341.77</v>
      </c>
      <c r="Q712" s="206"/>
      <c r="R712" s="206"/>
      <c r="S712" s="206">
        <f t="shared" si="164"/>
        <v>361341.77</v>
      </c>
      <c r="T712" s="666"/>
      <c r="U712" s="666"/>
      <c r="V712" s="204">
        <f t="shared" si="165"/>
        <v>0</v>
      </c>
      <c r="W712" s="666"/>
      <c r="X712" s="666"/>
      <c r="Y712" s="666"/>
      <c r="Z712" s="666"/>
      <c r="AA712" s="666"/>
      <c r="AB712" s="666"/>
      <c r="AC712" s="666"/>
      <c r="AD712" s="666"/>
      <c r="AE712" s="666"/>
    </row>
    <row r="713" spans="2:31" ht="30">
      <c r="B713" s="220">
        <f t="shared" si="166"/>
        <v>11</v>
      </c>
      <c r="C713" s="216" t="s">
        <v>553</v>
      </c>
      <c r="D713" s="259" t="s">
        <v>554</v>
      </c>
      <c r="E713" s="666"/>
      <c r="F713" s="560"/>
      <c r="G713" s="558"/>
      <c r="H713" s="666"/>
      <c r="I713" s="143"/>
      <c r="J713" s="213">
        <v>422945.30000000005</v>
      </c>
      <c r="K713" s="143"/>
      <c r="L713" s="143"/>
      <c r="M713" s="143">
        <f t="shared" si="163"/>
        <v>422945.30000000005</v>
      </c>
      <c r="N713" s="207"/>
      <c r="O713" s="207"/>
      <c r="P713" s="207">
        <v>422945.29</v>
      </c>
      <c r="Q713" s="206"/>
      <c r="R713" s="206"/>
      <c r="S713" s="206">
        <f t="shared" si="164"/>
        <v>422945.29</v>
      </c>
      <c r="T713" s="666"/>
      <c r="U713" s="666"/>
      <c r="V713" s="204">
        <f t="shared" si="165"/>
        <v>1.0000000067520887E-2</v>
      </c>
      <c r="W713" s="666"/>
      <c r="X713" s="666"/>
      <c r="Y713" s="666"/>
      <c r="Z713" s="666"/>
      <c r="AA713" s="666"/>
      <c r="AB713" s="666"/>
      <c r="AC713" s="666"/>
      <c r="AD713" s="666"/>
      <c r="AE713" s="666"/>
    </row>
    <row r="714" spans="2:31" ht="30">
      <c r="B714" s="220">
        <f t="shared" si="166"/>
        <v>12</v>
      </c>
      <c r="C714" s="216" t="s">
        <v>555</v>
      </c>
      <c r="D714" s="259" t="s">
        <v>556</v>
      </c>
      <c r="E714" s="666"/>
      <c r="F714" s="560"/>
      <c r="G714" s="558"/>
      <c r="H714" s="666"/>
      <c r="I714" s="143"/>
      <c r="J714" s="213">
        <v>456646.67000000004</v>
      </c>
      <c r="K714" s="143"/>
      <c r="L714" s="143"/>
      <c r="M714" s="143">
        <f t="shared" si="163"/>
        <v>456646.67000000004</v>
      </c>
      <c r="N714" s="207"/>
      <c r="O714" s="207"/>
      <c r="P714" s="206">
        <v>456646.67</v>
      </c>
      <c r="Q714" s="206"/>
      <c r="R714" s="206"/>
      <c r="S714" s="206">
        <f t="shared" si="164"/>
        <v>456646.67</v>
      </c>
      <c r="T714" s="666"/>
      <c r="U714" s="666"/>
      <c r="V714" s="204">
        <f t="shared" si="165"/>
        <v>0</v>
      </c>
      <c r="W714" s="666"/>
      <c r="X714" s="666"/>
      <c r="Y714" s="666"/>
      <c r="Z714" s="666"/>
      <c r="AA714" s="666"/>
      <c r="AB714" s="666"/>
      <c r="AC714" s="666"/>
      <c r="AD714" s="666"/>
      <c r="AE714" s="666"/>
    </row>
    <row r="715" spans="2:31" ht="30">
      <c r="B715" s="220">
        <f t="shared" si="166"/>
        <v>13</v>
      </c>
      <c r="C715" s="216" t="s">
        <v>557</v>
      </c>
      <c r="D715" s="259" t="s">
        <v>558</v>
      </c>
      <c r="E715" s="666"/>
      <c r="F715" s="560"/>
      <c r="G715" s="558"/>
      <c r="H715" s="666"/>
      <c r="I715" s="143"/>
      <c r="J715" s="213">
        <v>419185.33000000007</v>
      </c>
      <c r="K715" s="143"/>
      <c r="L715" s="143"/>
      <c r="M715" s="143">
        <f t="shared" si="163"/>
        <v>419185.33000000007</v>
      </c>
      <c r="N715" s="207"/>
      <c r="O715" s="207"/>
      <c r="P715" s="207">
        <v>419185.33</v>
      </c>
      <c r="Q715" s="206"/>
      <c r="R715" s="206"/>
      <c r="S715" s="206">
        <f t="shared" si="164"/>
        <v>419185.33</v>
      </c>
      <c r="T715" s="666"/>
      <c r="U715" s="666"/>
      <c r="V715" s="204">
        <f t="shared" si="165"/>
        <v>0</v>
      </c>
      <c r="W715" s="666"/>
      <c r="X715" s="666"/>
      <c r="Y715" s="666"/>
      <c r="Z715" s="666"/>
      <c r="AA715" s="666"/>
      <c r="AB715" s="666"/>
      <c r="AC715" s="666"/>
      <c r="AD715" s="666"/>
      <c r="AE715" s="666"/>
    </row>
    <row r="716" spans="2:31" ht="30">
      <c r="B716" s="220">
        <f t="shared" si="166"/>
        <v>14</v>
      </c>
      <c r="C716" s="216" t="s">
        <v>559</v>
      </c>
      <c r="D716" s="259" t="s">
        <v>560</v>
      </c>
      <c r="E716" s="666"/>
      <c r="F716" s="560"/>
      <c r="G716" s="558"/>
      <c r="H716" s="666"/>
      <c r="I716" s="143"/>
      <c r="J716" s="213">
        <v>114490.99</v>
      </c>
      <c r="K716" s="143"/>
      <c r="L716" s="143"/>
      <c r="M716" s="143">
        <f t="shared" si="163"/>
        <v>114490.99</v>
      </c>
      <c r="N716" s="207"/>
      <c r="O716" s="207"/>
      <c r="P716" s="207"/>
      <c r="Q716" s="206"/>
      <c r="R716" s="206"/>
      <c r="S716" s="206">
        <f t="shared" si="164"/>
        <v>0</v>
      </c>
      <c r="T716" s="666"/>
      <c r="U716" s="666"/>
      <c r="V716" s="206">
        <f t="shared" si="165"/>
        <v>114490.99</v>
      </c>
      <c r="W716" s="666"/>
      <c r="X716" s="666"/>
      <c r="Y716" s="666"/>
      <c r="Z716" s="666"/>
      <c r="AA716" s="666"/>
      <c r="AB716" s="666"/>
      <c r="AC716" s="666"/>
      <c r="AD716" s="666"/>
      <c r="AE716" s="666"/>
    </row>
    <row r="717" spans="2:31" ht="30">
      <c r="B717" s="220">
        <f t="shared" si="166"/>
        <v>15</v>
      </c>
      <c r="C717" s="216" t="s">
        <v>561</v>
      </c>
      <c r="D717" s="259" t="s">
        <v>562</v>
      </c>
      <c r="E717" s="666"/>
      <c r="F717" s="560"/>
      <c r="G717" s="558"/>
      <c r="H717" s="666"/>
      <c r="I717" s="143"/>
      <c r="J717" s="213">
        <v>1913337.3</v>
      </c>
      <c r="K717" s="143"/>
      <c r="L717" s="143"/>
      <c r="M717" s="143">
        <f t="shared" si="163"/>
        <v>1913337.3</v>
      </c>
      <c r="N717" s="207"/>
      <c r="O717" s="207"/>
      <c r="P717" s="207">
        <f>366579.65+342511.16+106616.88+171593.48+207788+169821.71</f>
        <v>1364910.88</v>
      </c>
      <c r="Q717" s="206"/>
      <c r="R717" s="206"/>
      <c r="S717" s="206">
        <f t="shared" si="164"/>
        <v>1364910.88</v>
      </c>
      <c r="T717" s="666"/>
      <c r="U717" s="666"/>
      <c r="V717" s="206">
        <f t="shared" si="165"/>
        <v>548426.42000000016</v>
      </c>
      <c r="W717" s="666"/>
      <c r="X717" s="666"/>
      <c r="Y717" s="666"/>
      <c r="Z717" s="666"/>
      <c r="AA717" s="666"/>
      <c r="AB717" s="666"/>
      <c r="AC717" s="666"/>
      <c r="AD717" s="666"/>
      <c r="AE717" s="666"/>
    </row>
    <row r="718" spans="2:31" ht="30">
      <c r="B718" s="220">
        <f t="shared" si="166"/>
        <v>16</v>
      </c>
      <c r="C718" s="216" t="s">
        <v>563</v>
      </c>
      <c r="D718" s="259" t="s">
        <v>564</v>
      </c>
      <c r="E718" s="666"/>
      <c r="F718" s="560"/>
      <c r="G718" s="558"/>
      <c r="H718" s="666"/>
      <c r="I718" s="143"/>
      <c r="J718" s="213">
        <v>2117671.1</v>
      </c>
      <c r="K718" s="143"/>
      <c r="L718" s="143"/>
      <c r="M718" s="143">
        <f t="shared" si="163"/>
        <v>2117671.1</v>
      </c>
      <c r="N718" s="207"/>
      <c r="O718" s="207"/>
      <c r="P718" s="207">
        <f>373712.28+360140.46+352384.95+401432.78+630000.64</f>
        <v>2117671.11</v>
      </c>
      <c r="Q718" s="206"/>
      <c r="R718" s="206"/>
      <c r="S718" s="206">
        <f t="shared" si="164"/>
        <v>2117671.11</v>
      </c>
      <c r="T718" s="666"/>
      <c r="U718" s="666"/>
      <c r="V718" s="206">
        <f t="shared" si="165"/>
        <v>-9.9999997764825821E-3</v>
      </c>
      <c r="W718" s="666"/>
      <c r="X718" s="666"/>
      <c r="Y718" s="666"/>
      <c r="Z718" s="666"/>
      <c r="AA718" s="666"/>
      <c r="AB718" s="666"/>
      <c r="AC718" s="666"/>
      <c r="AD718" s="666"/>
      <c r="AE718" s="666"/>
    </row>
    <row r="719" spans="2:31" ht="30">
      <c r="B719" s="220">
        <f t="shared" si="166"/>
        <v>17</v>
      </c>
      <c r="C719" s="216" t="s">
        <v>199</v>
      </c>
      <c r="D719" s="259" t="s">
        <v>565</v>
      </c>
      <c r="E719" s="666"/>
      <c r="F719" s="560"/>
      <c r="G719" s="558"/>
      <c r="H719" s="666"/>
      <c r="I719" s="143"/>
      <c r="J719" s="213">
        <v>1029606.7</v>
      </c>
      <c r="K719" s="143"/>
      <c r="L719" s="143"/>
      <c r="M719" s="143">
        <f t="shared" si="163"/>
        <v>1029606.7</v>
      </c>
      <c r="N719" s="207"/>
      <c r="O719" s="207"/>
      <c r="P719" s="207"/>
      <c r="Q719" s="206"/>
      <c r="R719" s="206"/>
      <c r="S719" s="206">
        <f t="shared" si="164"/>
        <v>0</v>
      </c>
      <c r="T719" s="666"/>
      <c r="U719" s="666"/>
      <c r="V719" s="206">
        <f t="shared" si="165"/>
        <v>1029606.7</v>
      </c>
      <c r="W719" s="666"/>
      <c r="X719" s="666"/>
      <c r="Y719" s="666"/>
      <c r="Z719" s="666"/>
      <c r="AA719" s="666"/>
      <c r="AB719" s="666"/>
      <c r="AC719" s="666"/>
      <c r="AD719" s="666"/>
      <c r="AE719" s="666"/>
    </row>
    <row r="720" spans="2:31" ht="30">
      <c r="B720" s="220">
        <f t="shared" si="166"/>
        <v>18</v>
      </c>
      <c r="C720" s="216" t="s">
        <v>566</v>
      </c>
      <c r="D720" s="259" t="s">
        <v>567</v>
      </c>
      <c r="E720" s="666"/>
      <c r="F720" s="560"/>
      <c r="G720" s="558"/>
      <c r="H720" s="666"/>
      <c r="I720" s="143"/>
      <c r="J720" s="213">
        <v>234287.14</v>
      </c>
      <c r="K720" s="143"/>
      <c r="L720" s="143"/>
      <c r="M720" s="143">
        <f t="shared" si="163"/>
        <v>234287.14</v>
      </c>
      <c r="N720" s="207"/>
      <c r="O720" s="207"/>
      <c r="P720" s="207">
        <f>122566.83+111720.31</f>
        <v>234287.14</v>
      </c>
      <c r="Q720" s="206"/>
      <c r="R720" s="206"/>
      <c r="S720" s="206">
        <f t="shared" si="164"/>
        <v>234287.14</v>
      </c>
      <c r="T720" s="666"/>
      <c r="U720" s="666"/>
      <c r="V720" s="206">
        <f t="shared" si="165"/>
        <v>0</v>
      </c>
      <c r="W720" s="666"/>
      <c r="X720" s="666"/>
      <c r="Y720" s="666"/>
      <c r="Z720" s="666"/>
      <c r="AA720" s="666"/>
      <c r="AB720" s="666"/>
      <c r="AC720" s="666"/>
      <c r="AD720" s="666"/>
      <c r="AE720" s="666"/>
    </row>
    <row r="721" spans="2:31" ht="30">
      <c r="B721" s="220">
        <f t="shared" si="166"/>
        <v>19</v>
      </c>
      <c r="C721" s="216" t="s">
        <v>568</v>
      </c>
      <c r="D721" s="259" t="s">
        <v>569</v>
      </c>
      <c r="E721" s="666"/>
      <c r="F721" s="560"/>
      <c r="G721" s="558"/>
      <c r="H721" s="666"/>
      <c r="I721" s="143"/>
      <c r="J721" s="213">
        <v>2120458.08</v>
      </c>
      <c r="K721" s="143"/>
      <c r="L721" s="143"/>
      <c r="M721" s="143">
        <f t="shared" si="163"/>
        <v>2120458.08</v>
      </c>
      <c r="N721" s="207"/>
      <c r="O721" s="207"/>
      <c r="P721" s="207">
        <f>202231.59+89903.01+266734.16+301170.35+175969.38+606985.25</f>
        <v>1642993.74</v>
      </c>
      <c r="Q721" s="206"/>
      <c r="R721" s="206"/>
      <c r="S721" s="206">
        <f t="shared" si="164"/>
        <v>1642993.74</v>
      </c>
      <c r="T721" s="666"/>
      <c r="U721" s="666"/>
      <c r="V721" s="206">
        <f t="shared" si="165"/>
        <v>477464.34000000008</v>
      </c>
      <c r="W721" s="666"/>
      <c r="X721" s="666"/>
      <c r="Y721" s="666"/>
      <c r="Z721" s="666"/>
      <c r="AA721" s="666"/>
      <c r="AB721" s="666"/>
      <c r="AC721" s="666"/>
      <c r="AD721" s="666"/>
      <c r="AE721" s="666"/>
    </row>
    <row r="722" spans="2:31" ht="30">
      <c r="B722" s="220">
        <f t="shared" si="166"/>
        <v>20</v>
      </c>
      <c r="C722" s="216" t="s">
        <v>570</v>
      </c>
      <c r="D722" s="259" t="s">
        <v>571</v>
      </c>
      <c r="E722" s="666"/>
      <c r="F722" s="571"/>
      <c r="G722" s="772"/>
      <c r="H722" s="666"/>
      <c r="I722" s="143"/>
      <c r="J722" s="213">
        <v>1098595.93</v>
      </c>
      <c r="K722" s="143"/>
      <c r="L722" s="143"/>
      <c r="M722" s="143">
        <f t="shared" si="163"/>
        <v>1098595.93</v>
      </c>
      <c r="N722" s="207"/>
      <c r="O722" s="207"/>
      <c r="P722" s="207">
        <f>95659.68+236149.04+105297.39+97675.52</f>
        <v>534781.63</v>
      </c>
      <c r="Q722" s="206"/>
      <c r="R722" s="206"/>
      <c r="S722" s="206">
        <f t="shared" si="164"/>
        <v>534781.63</v>
      </c>
      <c r="T722" s="666"/>
      <c r="U722" s="666"/>
      <c r="V722" s="206">
        <f t="shared" si="165"/>
        <v>563814.29999999993</v>
      </c>
      <c r="W722" s="666"/>
      <c r="X722" s="666"/>
      <c r="Y722" s="666"/>
      <c r="Z722" s="666"/>
      <c r="AA722" s="666"/>
      <c r="AB722" s="666"/>
      <c r="AC722" s="666"/>
      <c r="AD722" s="666"/>
      <c r="AE722" s="666"/>
    </row>
    <row r="723" spans="2:31" ht="30">
      <c r="B723" s="220">
        <f t="shared" si="166"/>
        <v>21</v>
      </c>
      <c r="C723" s="216" t="s">
        <v>572</v>
      </c>
      <c r="D723" s="259" t="s">
        <v>573</v>
      </c>
      <c r="E723" s="666"/>
      <c r="F723" s="560"/>
      <c r="G723" s="558"/>
      <c r="H723" s="666"/>
      <c r="I723" s="143"/>
      <c r="J723" s="213">
        <v>491900.36</v>
      </c>
      <c r="K723" s="143"/>
      <c r="L723" s="143"/>
      <c r="M723" s="143">
        <f t="shared" si="163"/>
        <v>491900.36</v>
      </c>
      <c r="N723" s="207"/>
      <c r="O723" s="207"/>
      <c r="P723" s="207">
        <f>99702.45+61851.94+31103.68+67003.83+226189.37+6049.09</f>
        <v>491900.36000000004</v>
      </c>
      <c r="Q723" s="206"/>
      <c r="R723" s="206"/>
      <c r="S723" s="206">
        <f t="shared" si="164"/>
        <v>491900.36000000004</v>
      </c>
      <c r="T723" s="666"/>
      <c r="U723" s="666"/>
      <c r="V723" s="204">
        <f t="shared" si="165"/>
        <v>0</v>
      </c>
      <c r="W723" s="666"/>
      <c r="X723" s="666"/>
      <c r="Y723" s="666"/>
      <c r="Z723" s="666"/>
      <c r="AA723" s="666"/>
      <c r="AB723" s="666"/>
      <c r="AC723" s="666"/>
      <c r="AD723" s="666"/>
      <c r="AE723" s="666"/>
    </row>
    <row r="724" spans="2:31" ht="30">
      <c r="B724" s="220">
        <f t="shared" si="166"/>
        <v>22</v>
      </c>
      <c r="C724" s="216" t="s">
        <v>574</v>
      </c>
      <c r="D724" s="259" t="s">
        <v>575</v>
      </c>
      <c r="E724" s="666"/>
      <c r="F724" s="560"/>
      <c r="G724" s="558"/>
      <c r="H724" s="666"/>
      <c r="I724" s="143"/>
      <c r="J724" s="213">
        <v>562928.48</v>
      </c>
      <c r="K724" s="143"/>
      <c r="L724" s="143"/>
      <c r="M724" s="143">
        <f t="shared" si="163"/>
        <v>562928.48</v>
      </c>
      <c r="N724" s="207"/>
      <c r="O724" s="207"/>
      <c r="P724" s="207">
        <f>59366.8+123312.6+106848.02+273401.06</f>
        <v>562928.48</v>
      </c>
      <c r="Q724" s="206"/>
      <c r="R724" s="206"/>
      <c r="S724" s="206">
        <f t="shared" si="164"/>
        <v>562928.48</v>
      </c>
      <c r="T724" s="666"/>
      <c r="U724" s="666"/>
      <c r="V724" s="325">
        <f t="shared" si="165"/>
        <v>0</v>
      </c>
      <c r="W724" s="666"/>
      <c r="X724" s="666"/>
      <c r="Y724" s="666"/>
      <c r="Z724" s="666"/>
      <c r="AA724" s="666"/>
      <c r="AB724" s="666"/>
      <c r="AC724" s="666"/>
      <c r="AD724" s="666"/>
      <c r="AE724" s="666"/>
    </row>
    <row r="725" spans="2:31" ht="30">
      <c r="B725" s="220">
        <f t="shared" si="166"/>
        <v>23</v>
      </c>
      <c r="C725" s="216" t="s">
        <v>576</v>
      </c>
      <c r="D725" s="259" t="s">
        <v>577</v>
      </c>
      <c r="E725" s="666"/>
      <c r="F725" s="560"/>
      <c r="G725" s="558"/>
      <c r="H725" s="666"/>
      <c r="I725" s="143"/>
      <c r="J725" s="213">
        <v>831951.99</v>
      </c>
      <c r="K725" s="143"/>
      <c r="L725" s="143"/>
      <c r="M725" s="143">
        <f t="shared" si="163"/>
        <v>831951.99</v>
      </c>
      <c r="N725" s="207"/>
      <c r="O725" s="207"/>
      <c r="P725" s="207">
        <f>302817.96+178848.69+237446.17</f>
        <v>719112.82000000007</v>
      </c>
      <c r="Q725" s="206"/>
      <c r="R725" s="206"/>
      <c r="S725" s="206">
        <f t="shared" si="164"/>
        <v>719112.82000000007</v>
      </c>
      <c r="T725" s="666"/>
      <c r="U725" s="666"/>
      <c r="V725" s="206">
        <f t="shared" si="165"/>
        <v>112839.16999999993</v>
      </c>
      <c r="W725" s="666"/>
      <c r="X725" s="666"/>
      <c r="Y725" s="666"/>
      <c r="Z725" s="666"/>
      <c r="AA725" s="666"/>
      <c r="AB725" s="666"/>
      <c r="AC725" s="666"/>
      <c r="AD725" s="666"/>
      <c r="AE725" s="666"/>
    </row>
    <row r="726" spans="2:31" ht="30">
      <c r="B726" s="220">
        <f t="shared" si="166"/>
        <v>24</v>
      </c>
      <c r="C726" s="216" t="s">
        <v>578</v>
      </c>
      <c r="D726" s="259" t="s">
        <v>579</v>
      </c>
      <c r="E726" s="666"/>
      <c r="F726" s="560"/>
      <c r="G726" s="558"/>
      <c r="H726" s="666"/>
      <c r="I726" s="143"/>
      <c r="J726" s="213">
        <v>909292.22</v>
      </c>
      <c r="K726" s="143"/>
      <c r="L726" s="143"/>
      <c r="M726" s="143">
        <f t="shared" si="163"/>
        <v>909292.22</v>
      </c>
      <c r="N726" s="207"/>
      <c r="O726" s="207"/>
      <c r="P726" s="207">
        <f>333650.08+261298.14+314344</f>
        <v>909292.22</v>
      </c>
      <c r="Q726" s="206"/>
      <c r="R726" s="206"/>
      <c r="S726" s="206">
        <f t="shared" si="164"/>
        <v>909292.22</v>
      </c>
      <c r="T726" s="666"/>
      <c r="U726" s="666"/>
      <c r="V726" s="206">
        <f t="shared" si="165"/>
        <v>0</v>
      </c>
      <c r="W726" s="666"/>
      <c r="X726" s="666"/>
      <c r="Y726" s="666"/>
      <c r="Z726" s="666"/>
      <c r="AA726" s="666"/>
      <c r="AB726" s="666"/>
      <c r="AC726" s="666"/>
      <c r="AD726" s="666"/>
      <c r="AE726" s="666"/>
    </row>
    <row r="727" spans="2:31" ht="30">
      <c r="B727" s="220">
        <f t="shared" si="166"/>
        <v>25</v>
      </c>
      <c r="C727" s="216" t="s">
        <v>580</v>
      </c>
      <c r="D727" s="259" t="s">
        <v>581</v>
      </c>
      <c r="E727" s="666"/>
      <c r="F727" s="560"/>
      <c r="G727" s="558"/>
      <c r="H727" s="666"/>
      <c r="I727" s="143"/>
      <c r="J727" s="213">
        <v>1629014.52</v>
      </c>
      <c r="K727" s="143"/>
      <c r="L727" s="143"/>
      <c r="M727" s="143">
        <f t="shared" si="163"/>
        <v>1629014.52</v>
      </c>
      <c r="N727" s="207"/>
      <c r="O727" s="207"/>
      <c r="P727" s="207">
        <f>250247.19+152577.14+132269.13</f>
        <v>535093.46</v>
      </c>
      <c r="Q727" s="206"/>
      <c r="R727" s="206"/>
      <c r="S727" s="206">
        <f t="shared" si="164"/>
        <v>535093.46</v>
      </c>
      <c r="T727" s="666"/>
      <c r="U727" s="666"/>
      <c r="V727" s="206">
        <f t="shared" si="165"/>
        <v>1093921.06</v>
      </c>
      <c r="W727" s="666"/>
      <c r="X727" s="666"/>
      <c r="Y727" s="666"/>
      <c r="Z727" s="666"/>
      <c r="AA727" s="666"/>
      <c r="AB727" s="666"/>
      <c r="AC727" s="666"/>
      <c r="AD727" s="666"/>
      <c r="AE727" s="666"/>
    </row>
    <row r="728" spans="2:31" ht="45">
      <c r="B728" s="220">
        <f t="shared" si="166"/>
        <v>26</v>
      </c>
      <c r="C728" s="216" t="s">
        <v>582</v>
      </c>
      <c r="D728" s="259" t="s">
        <v>583</v>
      </c>
      <c r="E728" s="666"/>
      <c r="F728" s="560"/>
      <c r="G728" s="558"/>
      <c r="H728" s="666"/>
      <c r="I728" s="143"/>
      <c r="J728" s="213">
        <v>1252694.44</v>
      </c>
      <c r="K728" s="143"/>
      <c r="L728" s="143"/>
      <c r="M728" s="143">
        <f t="shared" si="163"/>
        <v>1252694.44</v>
      </c>
      <c r="N728" s="207"/>
      <c r="O728" s="207"/>
      <c r="P728" s="207">
        <f>141651.02+123549.08+141232.26+104588.5+103898.57+637775.02</f>
        <v>1252694.45</v>
      </c>
      <c r="Q728" s="206"/>
      <c r="R728" s="206"/>
      <c r="S728" s="206">
        <f t="shared" si="164"/>
        <v>1252694.45</v>
      </c>
      <c r="T728" s="666"/>
      <c r="U728" s="666"/>
      <c r="V728" s="206">
        <f t="shared" si="165"/>
        <v>-1.0000000009313226E-2</v>
      </c>
      <c r="W728" s="666"/>
      <c r="X728" s="666"/>
      <c r="Y728" s="666"/>
      <c r="Z728" s="666"/>
      <c r="AA728" s="666"/>
      <c r="AB728" s="666"/>
      <c r="AC728" s="666"/>
      <c r="AD728" s="666"/>
      <c r="AE728" s="666"/>
    </row>
    <row r="729" spans="2:31" ht="45">
      <c r="B729" s="220">
        <f t="shared" si="166"/>
        <v>27</v>
      </c>
      <c r="C729" s="216" t="s">
        <v>584</v>
      </c>
      <c r="D729" s="259" t="s">
        <v>585</v>
      </c>
      <c r="E729" s="666"/>
      <c r="F729" s="560"/>
      <c r="G729" s="558"/>
      <c r="H729" s="666"/>
      <c r="I729" s="143"/>
      <c r="J729" s="213">
        <v>453350.38</v>
      </c>
      <c r="K729" s="143"/>
      <c r="L729" s="143"/>
      <c r="M729" s="143">
        <f t="shared" si="163"/>
        <v>453350.38</v>
      </c>
      <c r="N729" s="207"/>
      <c r="O729" s="207"/>
      <c r="P729" s="207">
        <f>3213.52+186246.94+79740.58+184149.35</f>
        <v>453350.39</v>
      </c>
      <c r="Q729" s="206"/>
      <c r="R729" s="206"/>
      <c r="S729" s="206">
        <f t="shared" si="164"/>
        <v>453350.39</v>
      </c>
      <c r="T729" s="666"/>
      <c r="U729" s="666"/>
      <c r="V729" s="206">
        <f t="shared" si="165"/>
        <v>-1.0000000009313226E-2</v>
      </c>
      <c r="W729" s="666"/>
      <c r="X729" s="666"/>
      <c r="Y729" s="666"/>
      <c r="Z729" s="666"/>
      <c r="AA729" s="666"/>
      <c r="AB729" s="666"/>
      <c r="AC729" s="666"/>
      <c r="AD729" s="666"/>
      <c r="AE729" s="666"/>
    </row>
    <row r="730" spans="2:31" ht="30">
      <c r="B730" s="220">
        <f t="shared" si="166"/>
        <v>28</v>
      </c>
      <c r="C730" s="216" t="s">
        <v>586</v>
      </c>
      <c r="D730" s="259" t="s">
        <v>587</v>
      </c>
      <c r="E730" s="666"/>
      <c r="F730" s="560"/>
      <c r="G730" s="558"/>
      <c r="H730" s="666"/>
      <c r="I730" s="143"/>
      <c r="J730" s="213">
        <v>1916635.68</v>
      </c>
      <c r="K730" s="143"/>
      <c r="L730" s="143"/>
      <c r="M730" s="143">
        <f t="shared" si="163"/>
        <v>1916635.68</v>
      </c>
      <c r="N730" s="207"/>
      <c r="O730" s="207"/>
      <c r="P730" s="207">
        <f>122150.61+69626.09+260132.75+217365.93+42702.78+219463.12</f>
        <v>931441.28</v>
      </c>
      <c r="Q730" s="206"/>
      <c r="R730" s="206"/>
      <c r="S730" s="206">
        <f t="shared" si="164"/>
        <v>931441.28</v>
      </c>
      <c r="T730" s="666"/>
      <c r="U730" s="666"/>
      <c r="V730" s="206">
        <f t="shared" si="165"/>
        <v>985194.39999999991</v>
      </c>
      <c r="W730" s="666"/>
      <c r="X730" s="666"/>
      <c r="Y730" s="666"/>
      <c r="Z730" s="666"/>
      <c r="AA730" s="666"/>
      <c r="AB730" s="666"/>
      <c r="AC730" s="666"/>
      <c r="AD730" s="666"/>
      <c r="AE730" s="666"/>
    </row>
    <row r="731" spans="2:31" ht="30">
      <c r="B731" s="220">
        <f t="shared" si="166"/>
        <v>29</v>
      </c>
      <c r="C731" s="216" t="s">
        <v>588</v>
      </c>
      <c r="D731" s="259" t="s">
        <v>589</v>
      </c>
      <c r="E731" s="666"/>
      <c r="F731" s="560"/>
      <c r="G731" s="558"/>
      <c r="H731" s="666"/>
      <c r="I731" s="143"/>
      <c r="J731" s="213">
        <v>1520759.07</v>
      </c>
      <c r="K731" s="143"/>
      <c r="L731" s="143"/>
      <c r="M731" s="143">
        <f t="shared" si="163"/>
        <v>1520759.07</v>
      </c>
      <c r="N731" s="207"/>
      <c r="O731" s="207"/>
      <c r="P731" s="207">
        <f>301768.98+114762.75+286394.67+277837.4+539995.27</f>
        <v>1520759.0699999998</v>
      </c>
      <c r="Q731" s="206"/>
      <c r="R731" s="206"/>
      <c r="S731" s="206">
        <f t="shared" si="164"/>
        <v>1520759.0699999998</v>
      </c>
      <c r="T731" s="666"/>
      <c r="U731" s="666"/>
      <c r="V731" s="206">
        <f t="shared" si="165"/>
        <v>0</v>
      </c>
      <c r="W731" s="666"/>
      <c r="X731" s="666"/>
      <c r="Y731" s="666"/>
      <c r="Z731" s="666"/>
      <c r="AA731" s="666"/>
      <c r="AB731" s="666"/>
      <c r="AC731" s="666"/>
      <c r="AD731" s="666"/>
      <c r="AE731" s="666"/>
    </row>
    <row r="732" spans="2:31" ht="30">
      <c r="B732" s="220">
        <f t="shared" si="166"/>
        <v>30</v>
      </c>
      <c r="C732" s="216" t="s">
        <v>590</v>
      </c>
      <c r="D732" s="259" t="s">
        <v>591</v>
      </c>
      <c r="E732" s="666"/>
      <c r="F732" s="560"/>
      <c r="G732" s="558"/>
      <c r="H732" s="666"/>
      <c r="I732" s="143"/>
      <c r="J732" s="213">
        <v>276402.03000000003</v>
      </c>
      <c r="K732" s="143"/>
      <c r="L732" s="143"/>
      <c r="M732" s="143">
        <f t="shared" si="163"/>
        <v>276402.03000000003</v>
      </c>
      <c r="N732" s="207"/>
      <c r="O732" s="207"/>
      <c r="P732" s="207">
        <f>58083.33+50481.2+30135.49+27429.38+94309.64</f>
        <v>260439.03999999998</v>
      </c>
      <c r="Q732" s="206"/>
      <c r="R732" s="206"/>
      <c r="S732" s="206">
        <f t="shared" si="164"/>
        <v>260439.03999999998</v>
      </c>
      <c r="T732" s="666"/>
      <c r="U732" s="666"/>
      <c r="V732" s="206">
        <f t="shared" si="165"/>
        <v>15962.990000000049</v>
      </c>
      <c r="W732" s="666"/>
      <c r="X732" s="666"/>
      <c r="Y732" s="666"/>
      <c r="Z732" s="666"/>
      <c r="AA732" s="666"/>
      <c r="AB732" s="666"/>
      <c r="AC732" s="666"/>
      <c r="AD732" s="666"/>
      <c r="AE732" s="666"/>
    </row>
    <row r="733" spans="2:31" ht="30">
      <c r="B733" s="220">
        <f t="shared" si="166"/>
        <v>31</v>
      </c>
      <c r="C733" s="216" t="s">
        <v>592</v>
      </c>
      <c r="D733" s="259" t="s">
        <v>593</v>
      </c>
      <c r="E733" s="666"/>
      <c r="F733" s="560"/>
      <c r="G733" s="558"/>
      <c r="H733" s="666"/>
      <c r="I733" s="143"/>
      <c r="J733" s="213">
        <v>1659264.98</v>
      </c>
      <c r="K733" s="143"/>
      <c r="L733" s="143"/>
      <c r="M733" s="143">
        <f t="shared" si="163"/>
        <v>1659264.98</v>
      </c>
      <c r="N733" s="207"/>
      <c r="O733" s="207"/>
      <c r="P733" s="207">
        <f>245169.39+174871.46+297451.69+52975.14+284360.65</f>
        <v>1054828.33</v>
      </c>
      <c r="Q733" s="206"/>
      <c r="R733" s="206"/>
      <c r="S733" s="206">
        <f t="shared" si="164"/>
        <v>1054828.33</v>
      </c>
      <c r="T733" s="666"/>
      <c r="U733" s="666"/>
      <c r="V733" s="206">
        <f t="shared" si="165"/>
        <v>604436.64999999991</v>
      </c>
      <c r="W733" s="666"/>
      <c r="X733" s="666"/>
      <c r="Y733" s="666"/>
      <c r="Z733" s="666"/>
      <c r="AA733" s="666"/>
      <c r="AB733" s="666"/>
      <c r="AC733" s="666"/>
      <c r="AD733" s="666"/>
      <c r="AE733" s="666"/>
    </row>
    <row r="734" spans="2:31" ht="30">
      <c r="B734" s="220">
        <f t="shared" si="166"/>
        <v>32</v>
      </c>
      <c r="C734" s="216" t="s">
        <v>594</v>
      </c>
      <c r="D734" s="259" t="s">
        <v>595</v>
      </c>
      <c r="E734" s="666"/>
      <c r="F734" s="560"/>
      <c r="G734" s="558"/>
      <c r="H734" s="666"/>
      <c r="I734" s="143"/>
      <c r="J734" s="213">
        <v>53474.36</v>
      </c>
      <c r="K734" s="143"/>
      <c r="L734" s="143"/>
      <c r="M734" s="143">
        <f t="shared" si="163"/>
        <v>53474.36</v>
      </c>
      <c r="N734" s="207"/>
      <c r="O734" s="207"/>
      <c r="P734" s="207">
        <f>4994.92+11308.5+6516.39+2855.8+21005.45+6793.31-0.01</f>
        <v>53474.359999999993</v>
      </c>
      <c r="Q734" s="206"/>
      <c r="R734" s="206"/>
      <c r="S734" s="206">
        <f t="shared" si="164"/>
        <v>53474.359999999993</v>
      </c>
      <c r="T734" s="666"/>
      <c r="U734" s="666"/>
      <c r="V734" s="204">
        <f t="shared" si="165"/>
        <v>0</v>
      </c>
      <c r="W734" s="666"/>
      <c r="X734" s="666"/>
      <c r="Y734" s="666"/>
      <c r="Z734" s="666"/>
      <c r="AA734" s="666"/>
      <c r="AB734" s="666"/>
      <c r="AC734" s="666"/>
      <c r="AD734" s="666"/>
      <c r="AE734" s="666"/>
    </row>
    <row r="735" spans="2:31" ht="30">
      <c r="B735" s="220">
        <f t="shared" si="166"/>
        <v>33</v>
      </c>
      <c r="C735" s="216" t="s">
        <v>596</v>
      </c>
      <c r="D735" s="259" t="s">
        <v>597</v>
      </c>
      <c r="E735" s="666"/>
      <c r="F735" s="560"/>
      <c r="G735" s="558"/>
      <c r="H735" s="666"/>
      <c r="I735" s="143"/>
      <c r="J735" s="213">
        <v>1594003.5</v>
      </c>
      <c r="K735" s="143"/>
      <c r="L735" s="143"/>
      <c r="M735" s="143">
        <f t="shared" si="163"/>
        <v>1594003.5</v>
      </c>
      <c r="N735" s="207"/>
      <c r="O735" s="207"/>
      <c r="P735" s="207">
        <f>169850.75+300180.22+180443.12</f>
        <v>650474.09</v>
      </c>
      <c r="Q735" s="206"/>
      <c r="R735" s="206"/>
      <c r="S735" s="206">
        <f t="shared" si="164"/>
        <v>650474.09</v>
      </c>
      <c r="T735" s="666"/>
      <c r="U735" s="666"/>
      <c r="V735" s="206">
        <f t="shared" si="165"/>
        <v>943529.41</v>
      </c>
      <c r="W735" s="666"/>
      <c r="X735" s="666"/>
      <c r="Y735" s="666"/>
      <c r="Z735" s="666"/>
      <c r="AA735" s="666"/>
      <c r="AB735" s="666"/>
      <c r="AC735" s="666"/>
      <c r="AD735" s="666"/>
      <c r="AE735" s="666"/>
    </row>
    <row r="736" spans="2:31" ht="30">
      <c r="B736" s="220">
        <f t="shared" si="166"/>
        <v>34</v>
      </c>
      <c r="C736" s="216" t="s">
        <v>598</v>
      </c>
      <c r="D736" s="259" t="s">
        <v>599</v>
      </c>
      <c r="E736" s="666"/>
      <c r="F736" s="560"/>
      <c r="G736" s="558"/>
      <c r="H736" s="666"/>
      <c r="I736" s="143"/>
      <c r="J736" s="213">
        <v>2006514.22</v>
      </c>
      <c r="K736" s="143"/>
      <c r="L736" s="143"/>
      <c r="M736" s="143">
        <f t="shared" si="163"/>
        <v>2006514.22</v>
      </c>
      <c r="N736" s="207"/>
      <c r="O736" s="207"/>
      <c r="P736" s="207">
        <f>493534.17+182504.17+469616.07+860859.81</f>
        <v>2006514.22</v>
      </c>
      <c r="Q736" s="206"/>
      <c r="R736" s="206"/>
      <c r="S736" s="206">
        <f t="shared" si="164"/>
        <v>2006514.22</v>
      </c>
      <c r="T736" s="666"/>
      <c r="U736" s="666"/>
      <c r="V736" s="206">
        <f t="shared" si="165"/>
        <v>0</v>
      </c>
      <c r="W736" s="666"/>
      <c r="X736" s="666"/>
      <c r="Y736" s="666"/>
      <c r="Z736" s="666"/>
      <c r="AA736" s="666"/>
      <c r="AB736" s="666"/>
      <c r="AC736" s="666"/>
      <c r="AD736" s="666"/>
      <c r="AE736" s="666"/>
    </row>
    <row r="737" spans="2:31" ht="30">
      <c r="B737" s="220">
        <f t="shared" si="166"/>
        <v>35</v>
      </c>
      <c r="C737" s="216" t="s">
        <v>600</v>
      </c>
      <c r="D737" s="259" t="s">
        <v>601</v>
      </c>
      <c r="E737" s="666"/>
      <c r="F737" s="560"/>
      <c r="G737" s="558"/>
      <c r="H737" s="666"/>
      <c r="I737" s="143"/>
      <c r="J737" s="213">
        <v>1418701.14</v>
      </c>
      <c r="K737" s="143"/>
      <c r="L737" s="143"/>
      <c r="M737" s="143">
        <f t="shared" si="163"/>
        <v>1418701.14</v>
      </c>
      <c r="N737" s="207"/>
      <c r="O737" s="207"/>
      <c r="P737" s="207">
        <f>197260.84+513376.19+238605.92</f>
        <v>949242.95000000007</v>
      </c>
      <c r="Q737" s="206"/>
      <c r="R737" s="206"/>
      <c r="S737" s="206">
        <f t="shared" si="164"/>
        <v>949242.95000000007</v>
      </c>
      <c r="T737" s="666"/>
      <c r="U737" s="666"/>
      <c r="V737" s="206">
        <f t="shared" si="165"/>
        <v>469458.18999999983</v>
      </c>
      <c r="W737" s="666"/>
      <c r="X737" s="666"/>
      <c r="Y737" s="666"/>
      <c r="Z737" s="666"/>
      <c r="AA737" s="666"/>
      <c r="AB737" s="666"/>
      <c r="AC737" s="666"/>
      <c r="AD737" s="666"/>
      <c r="AE737" s="666"/>
    </row>
    <row r="738" spans="2:31" ht="46.5">
      <c r="B738" s="220">
        <f t="shared" si="166"/>
        <v>36</v>
      </c>
      <c r="C738" s="216" t="s">
        <v>602</v>
      </c>
      <c r="D738" s="259" t="s">
        <v>603</v>
      </c>
      <c r="E738" s="666"/>
      <c r="F738" s="560"/>
      <c r="G738" s="558"/>
      <c r="H738" s="666"/>
      <c r="I738" s="143"/>
      <c r="J738" s="213">
        <v>51778.97</v>
      </c>
      <c r="K738" s="143"/>
      <c r="L738" s="143"/>
      <c r="M738" s="143">
        <f t="shared" si="163"/>
        <v>51778.97</v>
      </c>
      <c r="N738" s="207"/>
      <c r="O738" s="207"/>
      <c r="P738" s="207">
        <f>3075.14+933.2+9051.61+4217.39+16083.56+18418.08</f>
        <v>51778.98</v>
      </c>
      <c r="Q738" s="206"/>
      <c r="R738" s="206"/>
      <c r="S738" s="206">
        <f t="shared" si="164"/>
        <v>51778.98</v>
      </c>
      <c r="T738" s="666"/>
      <c r="U738" s="666"/>
      <c r="V738" s="206">
        <f t="shared" si="165"/>
        <v>-1.0000000002037268E-2</v>
      </c>
      <c r="W738" s="666"/>
      <c r="X738" s="666"/>
      <c r="Y738" s="666"/>
      <c r="Z738" s="666"/>
      <c r="AA738" s="666"/>
      <c r="AB738" s="666"/>
      <c r="AC738" s="666"/>
      <c r="AD738" s="666"/>
      <c r="AE738" s="666"/>
    </row>
    <row r="739" spans="2:31" ht="45">
      <c r="B739" s="220">
        <f t="shared" si="166"/>
        <v>37</v>
      </c>
      <c r="C739" s="216" t="s">
        <v>348</v>
      </c>
      <c r="D739" s="259" t="s">
        <v>604</v>
      </c>
      <c r="E739" s="666"/>
      <c r="F739" s="560"/>
      <c r="G739" s="558"/>
      <c r="H739" s="666"/>
      <c r="I739" s="143"/>
      <c r="J739" s="213">
        <v>728515.5</v>
      </c>
      <c r="K739" s="143"/>
      <c r="L739" s="143"/>
      <c r="M739" s="143">
        <f t="shared" si="163"/>
        <v>728515.5</v>
      </c>
      <c r="N739" s="207"/>
      <c r="O739" s="207"/>
      <c r="P739" s="207">
        <f>295052.82+11051.86+366691.22+55719.59+21484.5</f>
        <v>749999.98999999987</v>
      </c>
      <c r="Q739" s="206"/>
      <c r="R739" s="206"/>
      <c r="S739" s="206">
        <f t="shared" si="164"/>
        <v>749999.98999999987</v>
      </c>
      <c r="T739" s="666"/>
      <c r="U739" s="666"/>
      <c r="V739" s="204">
        <f t="shared" si="165"/>
        <v>-21484.489999999874</v>
      </c>
      <c r="W739" s="666"/>
      <c r="X739" s="666"/>
      <c r="Y739" s="666"/>
      <c r="Z739" s="666"/>
      <c r="AA739" s="666"/>
      <c r="AB739" s="666"/>
      <c r="AC739" s="666"/>
      <c r="AD739" s="666"/>
      <c r="AE739" s="666"/>
    </row>
    <row r="740" spans="2:31" ht="30">
      <c r="B740" s="220">
        <f t="shared" si="166"/>
        <v>38</v>
      </c>
      <c r="C740" s="216" t="s">
        <v>605</v>
      </c>
      <c r="D740" s="259" t="s">
        <v>606</v>
      </c>
      <c r="E740" s="666"/>
      <c r="F740" s="560"/>
      <c r="G740" s="558"/>
      <c r="H740" s="666"/>
      <c r="I740" s="143"/>
      <c r="J740" s="213">
        <v>1349054.42</v>
      </c>
      <c r="K740" s="143"/>
      <c r="L740" s="143"/>
      <c r="M740" s="143">
        <f t="shared" si="163"/>
        <v>1349054.42</v>
      </c>
      <c r="N740" s="207"/>
      <c r="O740" s="207"/>
      <c r="P740" s="207">
        <f>58536.81+101302.39+202574.01+160214.73+713006.57+37639.09</f>
        <v>1273273.6000000001</v>
      </c>
      <c r="Q740" s="206"/>
      <c r="R740" s="206"/>
      <c r="S740" s="206">
        <f t="shared" si="164"/>
        <v>1273273.6000000001</v>
      </c>
      <c r="T740" s="666"/>
      <c r="U740" s="666"/>
      <c r="V740" s="206">
        <f t="shared" si="165"/>
        <v>75780.819999999832</v>
      </c>
      <c r="W740" s="666"/>
      <c r="X740" s="666"/>
      <c r="Y740" s="666"/>
      <c r="Z740" s="666"/>
      <c r="AA740" s="666"/>
      <c r="AB740" s="666"/>
      <c r="AC740" s="666"/>
      <c r="AD740" s="666"/>
      <c r="AE740" s="666"/>
    </row>
    <row r="741" spans="2:31" ht="15.75">
      <c r="B741" s="219"/>
      <c r="C741" s="221"/>
      <c r="D741" s="210"/>
      <c r="E741" s="666"/>
      <c r="F741" s="560"/>
      <c r="G741" s="558"/>
      <c r="H741" s="666"/>
      <c r="I741" s="143"/>
      <c r="J741" s="212"/>
      <c r="K741" s="143"/>
      <c r="L741" s="143"/>
      <c r="M741" s="143">
        <f t="shared" si="163"/>
        <v>0</v>
      </c>
      <c r="N741" s="207"/>
      <c r="O741" s="207"/>
      <c r="P741" s="207"/>
      <c r="Q741" s="206"/>
      <c r="R741" s="206"/>
      <c r="S741" s="206">
        <f t="shared" si="164"/>
        <v>0</v>
      </c>
      <c r="T741" s="666"/>
      <c r="U741" s="666"/>
      <c r="V741" s="206">
        <f t="shared" si="165"/>
        <v>0</v>
      </c>
      <c r="W741" s="666"/>
      <c r="X741" s="666"/>
      <c r="Y741" s="666"/>
      <c r="Z741" s="666"/>
      <c r="AA741" s="666"/>
      <c r="AB741" s="666"/>
      <c r="AC741" s="666"/>
      <c r="AD741" s="666"/>
      <c r="AE741" s="666"/>
    </row>
    <row r="742" spans="2:31" ht="15.75">
      <c r="B742" s="219"/>
      <c r="C742" s="222"/>
      <c r="D742" s="260" t="s">
        <v>607</v>
      </c>
      <c r="E742" s="666"/>
      <c r="F742" s="560"/>
      <c r="G742" s="558"/>
      <c r="H742" s="666"/>
      <c r="I742" s="143"/>
      <c r="J742" s="212"/>
      <c r="K742" s="143"/>
      <c r="L742" s="143"/>
      <c r="M742" s="143">
        <f t="shared" si="163"/>
        <v>0</v>
      </c>
      <c r="N742" s="207"/>
      <c r="O742" s="207"/>
      <c r="P742" s="207"/>
      <c r="Q742" s="206"/>
      <c r="R742" s="206"/>
      <c r="S742" s="206">
        <f t="shared" si="164"/>
        <v>0</v>
      </c>
      <c r="T742" s="666"/>
      <c r="U742" s="666"/>
      <c r="V742" s="206">
        <f t="shared" si="165"/>
        <v>0</v>
      </c>
      <c r="W742" s="666"/>
      <c r="X742" s="666"/>
      <c r="Y742" s="666"/>
      <c r="Z742" s="666"/>
      <c r="AA742" s="666"/>
      <c r="AB742" s="666"/>
      <c r="AC742" s="666"/>
      <c r="AD742" s="666"/>
      <c r="AE742" s="666"/>
    </row>
    <row r="743" spans="2:31" ht="15.75">
      <c r="B743" s="220">
        <v>39</v>
      </c>
      <c r="C743" s="221"/>
      <c r="D743" s="209" t="s">
        <v>608</v>
      </c>
      <c r="E743" s="666"/>
      <c r="F743" s="560"/>
      <c r="G743" s="558"/>
      <c r="H743" s="666"/>
      <c r="I743" s="143"/>
      <c r="J743" s="213"/>
      <c r="K743" s="143"/>
      <c r="L743" s="143"/>
      <c r="M743" s="143">
        <f t="shared" si="163"/>
        <v>0</v>
      </c>
      <c r="N743" s="207"/>
      <c r="O743" s="207"/>
      <c r="P743" s="207"/>
      <c r="Q743" s="206"/>
      <c r="R743" s="206"/>
      <c r="S743" s="206">
        <f t="shared" si="164"/>
        <v>0</v>
      </c>
      <c r="T743" s="666"/>
      <c r="U743" s="666"/>
      <c r="V743" s="206">
        <f t="shared" si="165"/>
        <v>0</v>
      </c>
      <c r="W743" s="666"/>
      <c r="X743" s="666"/>
      <c r="Y743" s="666"/>
      <c r="Z743" s="666"/>
      <c r="AA743" s="666"/>
      <c r="AB743" s="666"/>
      <c r="AC743" s="666"/>
      <c r="AD743" s="666"/>
      <c r="AE743" s="666"/>
    </row>
    <row r="744" spans="2:31" ht="30">
      <c r="B744" s="220">
        <v>39.1</v>
      </c>
      <c r="C744" s="224" t="s">
        <v>609</v>
      </c>
      <c r="D744" s="259" t="s">
        <v>610</v>
      </c>
      <c r="E744" s="666"/>
      <c r="F744" s="560"/>
      <c r="G744" s="558"/>
      <c r="H744" s="666"/>
      <c r="I744" s="143"/>
      <c r="J744" s="213">
        <f>17288991.3</f>
        <v>17288991.300000001</v>
      </c>
      <c r="K744" s="143"/>
      <c r="L744" s="143"/>
      <c r="M744" s="143">
        <f t="shared" si="163"/>
        <v>17288991.300000001</v>
      </c>
      <c r="N744" s="207"/>
      <c r="O744" s="207"/>
      <c r="P744" s="207">
        <f>799508.86+2231255.42+1543543.93+1804951.17+902749.15+1690960.64+1844864.35+1184520.64+1217857.95+1283258.1+1792408.41+993112.69+999333.9+2028052.26+220919.94</f>
        <v>20537297.41</v>
      </c>
      <c r="Q744" s="206"/>
      <c r="R744" s="206"/>
      <c r="S744" s="206">
        <f t="shared" si="164"/>
        <v>20537297.41</v>
      </c>
      <c r="T744" s="666"/>
      <c r="U744" s="666"/>
      <c r="V744" s="206">
        <f t="shared" si="165"/>
        <v>-3248306.1099999994</v>
      </c>
      <c r="W744" s="666"/>
      <c r="X744" s="666"/>
      <c r="Y744" s="666"/>
      <c r="Z744" s="666"/>
      <c r="AA744" s="666"/>
      <c r="AB744" s="666"/>
      <c r="AC744" s="666"/>
      <c r="AD744" s="666"/>
      <c r="AE744" s="666"/>
    </row>
    <row r="745" spans="2:31" ht="30">
      <c r="B745" s="220">
        <v>39.200000000000003</v>
      </c>
      <c r="C745" s="224" t="s">
        <v>611</v>
      </c>
      <c r="D745" s="259" t="s">
        <v>612</v>
      </c>
      <c r="E745" s="666"/>
      <c r="F745" s="560"/>
      <c r="G745" s="558"/>
      <c r="H745" s="666"/>
      <c r="I745" s="143"/>
      <c r="J745" s="213">
        <f>16027576.5</f>
        <v>16027576.5</v>
      </c>
      <c r="K745" s="143"/>
      <c r="L745" s="143"/>
      <c r="M745" s="143">
        <f t="shared" si="163"/>
        <v>16027576.5</v>
      </c>
      <c r="N745" s="207"/>
      <c r="O745" s="207"/>
      <c r="P745" s="207">
        <f>1270800.22+1921102.85+4309955.34+307545.26+485871.6+174331.71+1123065.37+2012112.65+1422932.95+60378.22+772895.14+1228390.97+938194.22+115348.87+1271101.76+1031490.34</f>
        <v>18445517.470000003</v>
      </c>
      <c r="Q745" s="206"/>
      <c r="R745" s="206"/>
      <c r="S745" s="206">
        <f t="shared" si="164"/>
        <v>18445517.470000003</v>
      </c>
      <c r="T745" s="666"/>
      <c r="U745" s="666"/>
      <c r="V745" s="206">
        <f t="shared" si="165"/>
        <v>-2417940.9700000025</v>
      </c>
      <c r="W745" s="666"/>
      <c r="X745" s="666"/>
      <c r="Y745" s="666"/>
      <c r="Z745" s="666"/>
      <c r="AA745" s="666"/>
      <c r="AB745" s="666"/>
      <c r="AC745" s="666"/>
      <c r="AD745" s="666"/>
      <c r="AE745" s="666"/>
    </row>
    <row r="746" spans="2:31" ht="30">
      <c r="B746" s="220">
        <v>39.299999999999997</v>
      </c>
      <c r="C746" s="224" t="s">
        <v>613</v>
      </c>
      <c r="D746" s="259" t="s">
        <v>614</v>
      </c>
      <c r="E746" s="666"/>
      <c r="F746" s="560"/>
      <c r="G746" s="558"/>
      <c r="H746" s="666"/>
      <c r="I746" s="143"/>
      <c r="J746" s="213">
        <f>276162.81</f>
        <v>276162.81</v>
      </c>
      <c r="K746" s="143"/>
      <c r="L746" s="143"/>
      <c r="M746" s="143">
        <f t="shared" si="163"/>
        <v>276162.81</v>
      </c>
      <c r="N746" s="207"/>
      <c r="O746" s="207"/>
      <c r="P746" s="207">
        <f>0+0+0+276162.81+2172272.2</f>
        <v>2448435.0100000002</v>
      </c>
      <c r="Q746" s="206"/>
      <c r="R746" s="206"/>
      <c r="S746" s="206">
        <f t="shared" si="164"/>
        <v>2448435.0100000002</v>
      </c>
      <c r="T746" s="666"/>
      <c r="U746" s="666"/>
      <c r="V746" s="206">
        <f t="shared" si="165"/>
        <v>-2172272.2000000002</v>
      </c>
      <c r="W746" s="666"/>
      <c r="X746" s="666"/>
      <c r="Y746" s="666"/>
      <c r="Z746" s="666"/>
      <c r="AA746" s="666"/>
      <c r="AB746" s="666"/>
      <c r="AC746" s="666"/>
      <c r="AD746" s="666"/>
      <c r="AE746" s="666"/>
    </row>
    <row r="747" spans="2:31" ht="16.5" thickBot="1">
      <c r="B747" s="217" t="s">
        <v>29</v>
      </c>
      <c r="C747" s="218"/>
      <c r="D747" s="258" t="s">
        <v>615</v>
      </c>
      <c r="E747" s="211" t="s">
        <v>29</v>
      </c>
      <c r="F747" s="578"/>
      <c r="G747" s="786"/>
      <c r="H747" s="211">
        <f t="shared" ref="H747:AE747" si="167">SUM(H703:H746)</f>
        <v>0</v>
      </c>
      <c r="I747" s="211">
        <f t="shared" si="167"/>
        <v>0</v>
      </c>
      <c r="J747" s="211">
        <f t="shared" si="167"/>
        <v>73403178.730000004</v>
      </c>
      <c r="K747" s="211">
        <f t="shared" si="167"/>
        <v>0</v>
      </c>
      <c r="L747" s="211">
        <f t="shared" si="167"/>
        <v>0</v>
      </c>
      <c r="M747" s="211">
        <f t="shared" si="167"/>
        <v>73403178.730000004</v>
      </c>
      <c r="N747" s="211">
        <f t="shared" si="167"/>
        <v>0</v>
      </c>
      <c r="O747" s="211">
        <f t="shared" si="167"/>
        <v>0</v>
      </c>
      <c r="P747" s="211">
        <f t="shared" si="167"/>
        <v>71802695.049999997</v>
      </c>
      <c r="Q747" s="211">
        <f t="shared" si="167"/>
        <v>0</v>
      </c>
      <c r="R747" s="211">
        <f t="shared" si="167"/>
        <v>0</v>
      </c>
      <c r="S747" s="211">
        <f t="shared" si="167"/>
        <v>71802695.049999997</v>
      </c>
      <c r="T747" s="211">
        <f t="shared" si="167"/>
        <v>0</v>
      </c>
      <c r="U747" s="211">
        <f t="shared" si="167"/>
        <v>0</v>
      </c>
      <c r="V747" s="211">
        <f t="shared" si="167"/>
        <v>1600483.6800000006</v>
      </c>
      <c r="W747" s="211">
        <f t="shared" si="167"/>
        <v>0</v>
      </c>
      <c r="X747" s="211">
        <f t="shared" si="167"/>
        <v>0</v>
      </c>
      <c r="Y747" s="211">
        <f t="shared" si="167"/>
        <v>0</v>
      </c>
      <c r="Z747" s="211">
        <f t="shared" si="167"/>
        <v>0</v>
      </c>
      <c r="AA747" s="211">
        <f t="shared" si="167"/>
        <v>0</v>
      </c>
      <c r="AB747" s="211">
        <f t="shared" si="167"/>
        <v>0</v>
      </c>
      <c r="AC747" s="211">
        <f t="shared" si="167"/>
        <v>0</v>
      </c>
      <c r="AD747" s="211">
        <f t="shared" si="167"/>
        <v>0</v>
      </c>
      <c r="AE747" s="211">
        <f t="shared" si="167"/>
        <v>0</v>
      </c>
    </row>
    <row r="748" spans="2:31" ht="15.75">
      <c r="B748" s="200"/>
      <c r="C748" s="200"/>
      <c r="D748" s="261"/>
      <c r="E748" s="200"/>
      <c r="F748" s="343"/>
      <c r="G748" s="778"/>
    </row>
    <row r="749" spans="2:31" ht="28.5">
      <c r="B749" s="1025" t="s">
        <v>440</v>
      </c>
      <c r="C749" s="1025"/>
      <c r="D749" s="1025"/>
      <c r="E749" s="1025"/>
      <c r="F749" s="695"/>
      <c r="G749" s="787"/>
    </row>
    <row r="750" spans="2:31" ht="15.75">
      <c r="B750" s="200"/>
      <c r="C750" s="200"/>
      <c r="D750" s="261"/>
      <c r="E750" s="200"/>
      <c r="F750" s="343"/>
      <c r="G750" s="778"/>
    </row>
    <row r="751" spans="2:31" ht="15.75">
      <c r="B751" s="193"/>
      <c r="C751" s="196"/>
      <c r="D751" s="186" t="s">
        <v>441</v>
      </c>
      <c r="E751" s="2"/>
      <c r="F751" s="579"/>
      <c r="G751" s="20"/>
      <c r="H751" s="143"/>
      <c r="I751" s="143"/>
      <c r="J751" s="143"/>
      <c r="K751" s="197">
        <f>SUM(K752)</f>
        <v>122219.01</v>
      </c>
      <c r="L751" s="143"/>
      <c r="M751" s="143"/>
      <c r="N751" s="667"/>
      <c r="O751" s="667"/>
      <c r="P751" s="667"/>
      <c r="Q751" s="666"/>
      <c r="R751" s="666"/>
      <c r="S751" s="666"/>
      <c r="T751" s="666"/>
      <c r="U751" s="666"/>
      <c r="V751" s="666"/>
      <c r="W751" s="666"/>
      <c r="X751" s="666"/>
      <c r="Y751" s="666"/>
      <c r="Z751" s="666"/>
      <c r="AA751" s="666"/>
      <c r="AB751" s="666"/>
      <c r="AC751" s="666"/>
      <c r="AD751" s="666"/>
      <c r="AE751" s="666"/>
    </row>
    <row r="752" spans="2:31" ht="30">
      <c r="B752" s="193">
        <v>1</v>
      </c>
      <c r="C752" s="376" t="s">
        <v>442</v>
      </c>
      <c r="D752" s="262" t="s">
        <v>443</v>
      </c>
      <c r="E752" s="2"/>
      <c r="F752" s="579"/>
      <c r="G752" s="20"/>
      <c r="H752" s="143"/>
      <c r="I752" s="143"/>
      <c r="J752" s="143"/>
      <c r="K752" s="190">
        <v>122219.01</v>
      </c>
      <c r="L752" s="143"/>
      <c r="M752" s="143">
        <f>+H752+I752+J752+K752+L752</f>
        <v>122219.01</v>
      </c>
      <c r="N752" s="141"/>
      <c r="O752" s="141"/>
      <c r="P752" s="141"/>
      <c r="Q752" s="152"/>
      <c r="R752" s="152"/>
      <c r="S752" s="152">
        <f t="shared" ref="S752:S753" si="168">SUM(N752:R752)</f>
        <v>0</v>
      </c>
      <c r="T752" s="152"/>
      <c r="U752" s="152"/>
      <c r="V752" s="152"/>
      <c r="W752" s="152">
        <f>+K752-Q752</f>
        <v>122219.01</v>
      </c>
      <c r="X752" s="666"/>
      <c r="Y752" s="666"/>
      <c r="Z752" s="666"/>
      <c r="AA752" s="666"/>
      <c r="AB752" s="666"/>
      <c r="AC752" s="666"/>
      <c r="AD752" s="666"/>
      <c r="AE752" s="666"/>
    </row>
    <row r="753" spans="2:31" ht="31.5">
      <c r="B753" s="193"/>
      <c r="C753" s="216"/>
      <c r="D753" s="186" t="s">
        <v>444</v>
      </c>
      <c r="E753" s="2"/>
      <c r="F753" s="579"/>
      <c r="G753" s="20"/>
      <c r="H753" s="143"/>
      <c r="I753" s="143"/>
      <c r="J753" s="143"/>
      <c r="K753" s="197">
        <f>SUM(K754:K756)</f>
        <v>1134420.8999999999</v>
      </c>
      <c r="L753" s="143"/>
      <c r="M753" s="143" t="s">
        <v>29</v>
      </c>
      <c r="N753" s="141"/>
      <c r="O753" s="141"/>
      <c r="P753" s="141"/>
      <c r="Q753" s="152"/>
      <c r="R753" s="152"/>
      <c r="S753" s="152">
        <f t="shared" si="168"/>
        <v>0</v>
      </c>
      <c r="T753" s="152"/>
      <c r="U753" s="152"/>
      <c r="V753" s="152"/>
      <c r="W753" s="152" t="s">
        <v>29</v>
      </c>
      <c r="X753" s="666"/>
      <c r="Y753" s="666"/>
      <c r="Z753" s="666"/>
      <c r="AA753" s="666"/>
      <c r="AB753" s="666"/>
      <c r="AC753" s="666"/>
      <c r="AD753" s="666"/>
      <c r="AE753" s="666"/>
    </row>
    <row r="754" spans="2:31" ht="63">
      <c r="B754" s="193">
        <v>1</v>
      </c>
      <c r="C754" s="376" t="s">
        <v>616</v>
      </c>
      <c r="D754" s="188" t="s">
        <v>445</v>
      </c>
      <c r="E754" s="2"/>
      <c r="F754" s="270" t="s">
        <v>679</v>
      </c>
      <c r="G754" s="533"/>
      <c r="H754" s="143"/>
      <c r="I754" s="143"/>
      <c r="J754" s="143"/>
      <c r="K754" s="198">
        <v>925000</v>
      </c>
      <c r="L754" s="143"/>
      <c r="M754" s="143">
        <f t="shared" ref="M754:M814" si="169">+H754+I754+J754+K754+L754</f>
        <v>925000</v>
      </c>
      <c r="N754" s="141"/>
      <c r="O754" s="141"/>
      <c r="P754" s="141"/>
      <c r="Q754" s="152">
        <f>77945.76+82802.67+1135331.88+359300.13</f>
        <v>1655380.44</v>
      </c>
      <c r="R754" s="152"/>
      <c r="S754" s="152">
        <f>SUM(N754:R754)</f>
        <v>1655380.44</v>
      </c>
      <c r="T754" s="152"/>
      <c r="U754" s="152"/>
      <c r="V754" s="152"/>
      <c r="W754" s="205">
        <f t="shared" ref="W754:W814" si="170">+K754-Q754</f>
        <v>-730380.44</v>
      </c>
      <c r="X754" s="666"/>
      <c r="Y754" s="666"/>
      <c r="Z754" s="152">
        <v>0</v>
      </c>
      <c r="AA754" s="152">
        <v>0</v>
      </c>
      <c r="AB754" s="152">
        <v>0</v>
      </c>
      <c r="AC754" s="152">
        <f>1705161.73-49781.29</f>
        <v>1655380.44</v>
      </c>
      <c r="AD754" s="152">
        <v>0</v>
      </c>
      <c r="AE754" s="152">
        <f>SUM(Z754:AD754)</f>
        <v>1655380.44</v>
      </c>
    </row>
    <row r="755" spans="2:31" ht="63">
      <c r="B755" s="193">
        <v>2</v>
      </c>
      <c r="C755" s="376" t="s">
        <v>617</v>
      </c>
      <c r="D755" s="188" t="s">
        <v>446</v>
      </c>
      <c r="E755" s="2"/>
      <c r="F755" s="270" t="s">
        <v>852</v>
      </c>
      <c r="G755" s="533"/>
      <c r="H755" s="143"/>
      <c r="I755" s="143"/>
      <c r="J755" s="143"/>
      <c r="K755" s="198">
        <v>191796.26</v>
      </c>
      <c r="L755" s="143"/>
      <c r="M755" s="143">
        <f t="shared" si="169"/>
        <v>191796.26</v>
      </c>
      <c r="N755" s="141"/>
      <c r="O755" s="141"/>
      <c r="P755" s="141"/>
      <c r="Q755" s="152">
        <f>7641.81+37325.08+40523.89+221931.43</f>
        <v>307422.20999999996</v>
      </c>
      <c r="R755" s="152"/>
      <c r="S755" s="152">
        <f t="shared" ref="S755:S814" si="171">SUM(N755:R755)</f>
        <v>307422.20999999996</v>
      </c>
      <c r="T755" s="152"/>
      <c r="U755" s="152"/>
      <c r="V755" s="152"/>
      <c r="W755" s="205">
        <f t="shared" si="170"/>
        <v>-115625.94999999995</v>
      </c>
      <c r="X755" s="666"/>
      <c r="Y755" s="666"/>
      <c r="Z755" s="152">
        <v>0</v>
      </c>
      <c r="AA755" s="152">
        <v>0</v>
      </c>
      <c r="AB755" s="152">
        <v>0</v>
      </c>
      <c r="AC755" s="152">
        <f>349999.85-42577.64</f>
        <v>307422.20999999996</v>
      </c>
      <c r="AD755" s="152">
        <v>0</v>
      </c>
      <c r="AE755" s="152">
        <f>SUM(Z755:AD755)</f>
        <v>307422.20999999996</v>
      </c>
    </row>
    <row r="756" spans="2:31" ht="31.5">
      <c r="B756" s="193">
        <v>3</v>
      </c>
      <c r="C756" s="376" t="s">
        <v>447</v>
      </c>
      <c r="D756" s="188" t="s">
        <v>448</v>
      </c>
      <c r="E756" s="2"/>
      <c r="F756" s="579"/>
      <c r="G756" s="20"/>
      <c r="H756" s="143"/>
      <c r="I756" s="143"/>
      <c r="J756" s="143"/>
      <c r="K756" s="198">
        <v>17624.639999999996</v>
      </c>
      <c r="L756" s="143"/>
      <c r="M756" s="143">
        <f t="shared" si="169"/>
        <v>17624.639999999996</v>
      </c>
      <c r="N756" s="141"/>
      <c r="O756" s="141"/>
      <c r="P756" s="141"/>
      <c r="Q756" s="152"/>
      <c r="R756" s="152"/>
      <c r="S756" s="152">
        <f t="shared" si="171"/>
        <v>0</v>
      </c>
      <c r="T756" s="152"/>
      <c r="U756" s="152"/>
      <c r="V756" s="152"/>
      <c r="W756" s="152">
        <f t="shared" si="170"/>
        <v>17624.639999999996</v>
      </c>
      <c r="X756" s="666"/>
      <c r="Y756" s="666"/>
      <c r="Z756" s="666"/>
      <c r="AA756" s="666"/>
      <c r="AB756" s="666"/>
      <c r="AC756" s="666"/>
      <c r="AD756" s="666"/>
      <c r="AE756" s="666"/>
    </row>
    <row r="757" spans="2:31" ht="15.75">
      <c r="B757" s="193"/>
      <c r="C757" s="376"/>
      <c r="D757" s="186" t="s">
        <v>449</v>
      </c>
      <c r="E757" s="2"/>
      <c r="F757" s="579"/>
      <c r="G757" s="20"/>
      <c r="H757" s="143"/>
      <c r="I757" s="143"/>
      <c r="J757" s="143"/>
      <c r="K757" s="197">
        <f>SUM(K758)</f>
        <v>39886.75</v>
      </c>
      <c r="L757" s="143"/>
      <c r="M757" s="143" t="s">
        <v>29</v>
      </c>
      <c r="N757" s="141"/>
      <c r="O757" s="141"/>
      <c r="P757" s="141"/>
      <c r="Q757" s="152"/>
      <c r="R757" s="152"/>
      <c r="S757" s="152" t="s">
        <v>29</v>
      </c>
      <c r="T757" s="152"/>
      <c r="U757" s="152"/>
      <c r="V757" s="152"/>
      <c r="W757" s="152" t="s">
        <v>29</v>
      </c>
      <c r="X757" s="666"/>
      <c r="Y757" s="666"/>
      <c r="Z757" s="666"/>
      <c r="AA757" s="666"/>
      <c r="AB757" s="666"/>
      <c r="AC757" s="666"/>
      <c r="AD757" s="666"/>
      <c r="AE757" s="666"/>
    </row>
    <row r="758" spans="2:31" ht="31.5">
      <c r="B758" s="193">
        <v>1</v>
      </c>
      <c r="C758" s="376" t="s">
        <v>450</v>
      </c>
      <c r="D758" s="188" t="s">
        <v>451</v>
      </c>
      <c r="E758" s="2"/>
      <c r="F758" s="579"/>
      <c r="G758" s="20"/>
      <c r="H758" s="143"/>
      <c r="I758" s="143"/>
      <c r="J758" s="143"/>
      <c r="K758" s="198">
        <v>39886.75</v>
      </c>
      <c r="L758" s="143"/>
      <c r="M758" s="143">
        <f t="shared" si="169"/>
        <v>39886.75</v>
      </c>
      <c r="N758" s="141"/>
      <c r="O758" s="141"/>
      <c r="P758" s="141"/>
      <c r="Q758" s="152"/>
      <c r="R758" s="152"/>
      <c r="S758" s="152">
        <f t="shared" si="171"/>
        <v>0</v>
      </c>
      <c r="T758" s="152"/>
      <c r="U758" s="152"/>
      <c r="V758" s="152"/>
      <c r="W758" s="152">
        <f t="shared" si="170"/>
        <v>39886.75</v>
      </c>
      <c r="X758" s="666"/>
      <c r="Y758" s="666"/>
      <c r="Z758" s="666"/>
      <c r="AA758" s="666"/>
      <c r="AB758" s="666"/>
      <c r="AC758" s="666"/>
      <c r="AD758" s="666"/>
      <c r="AE758" s="666"/>
    </row>
    <row r="759" spans="2:31" ht="15.75">
      <c r="B759" s="193"/>
      <c r="C759" s="376"/>
      <c r="D759" s="186" t="s">
        <v>452</v>
      </c>
      <c r="E759" s="2"/>
      <c r="F759" s="579"/>
      <c r="G759" s="20"/>
      <c r="H759" s="143"/>
      <c r="I759" s="143"/>
      <c r="J759" s="143"/>
      <c r="K759" s="197">
        <f>SUM(K760:K762)</f>
        <v>897523.55</v>
      </c>
      <c r="L759" s="143"/>
      <c r="M759" s="143" t="s">
        <v>29</v>
      </c>
      <c r="N759" s="141"/>
      <c r="O759" s="141"/>
      <c r="P759" s="141"/>
      <c r="Q759" s="152"/>
      <c r="R759" s="152"/>
      <c r="S759" s="152" t="s">
        <v>29</v>
      </c>
      <c r="T759" s="152"/>
      <c r="U759" s="152"/>
      <c r="V759" s="152"/>
      <c r="W759" s="152" t="s">
        <v>29</v>
      </c>
      <c r="X759" s="666"/>
      <c r="Y759" s="666"/>
      <c r="Z759" s="666"/>
      <c r="AA759" s="666"/>
      <c r="AB759" s="666"/>
      <c r="AC759" s="666"/>
      <c r="AD759" s="666"/>
      <c r="AE759" s="666"/>
    </row>
    <row r="760" spans="2:31" ht="45">
      <c r="B760" s="193">
        <v>1</v>
      </c>
      <c r="C760" s="376" t="s">
        <v>453</v>
      </c>
      <c r="D760" s="188" t="s">
        <v>454</v>
      </c>
      <c r="E760" s="2"/>
      <c r="F760" s="579"/>
      <c r="G760" s="20"/>
      <c r="H760" s="143"/>
      <c r="I760" s="143"/>
      <c r="J760" s="143"/>
      <c r="K760" s="189">
        <v>454.92000000001281</v>
      </c>
      <c r="L760" s="143"/>
      <c r="M760" s="143">
        <f t="shared" si="169"/>
        <v>454.92000000001281</v>
      </c>
      <c r="N760" s="141"/>
      <c r="O760" s="141"/>
      <c r="P760" s="141"/>
      <c r="Q760" s="152"/>
      <c r="R760" s="152"/>
      <c r="S760" s="152">
        <f t="shared" si="171"/>
        <v>0</v>
      </c>
      <c r="T760" s="152"/>
      <c r="U760" s="152"/>
      <c r="V760" s="152"/>
      <c r="W760" s="152">
        <f t="shared" si="170"/>
        <v>454.92000000001281</v>
      </c>
      <c r="X760" s="666"/>
      <c r="Y760" s="666"/>
      <c r="Z760" s="666"/>
      <c r="AA760" s="666"/>
      <c r="AB760" s="666"/>
      <c r="AC760" s="666"/>
      <c r="AD760" s="666"/>
      <c r="AE760" s="666"/>
    </row>
    <row r="761" spans="2:31" ht="47.25">
      <c r="B761" s="193">
        <v>2</v>
      </c>
      <c r="C761" s="376" t="s">
        <v>455</v>
      </c>
      <c r="D761" s="188" t="s">
        <v>456</v>
      </c>
      <c r="E761" s="2"/>
      <c r="F761" s="579"/>
      <c r="G761" s="20"/>
      <c r="H761" s="143"/>
      <c r="I761" s="143"/>
      <c r="J761" s="143"/>
      <c r="K761" s="189">
        <v>59286.28</v>
      </c>
      <c r="L761" s="143"/>
      <c r="M761" s="143">
        <f t="shared" si="169"/>
        <v>59286.28</v>
      </c>
      <c r="N761" s="141"/>
      <c r="O761" s="141"/>
      <c r="P761" s="141"/>
      <c r="Q761" s="152"/>
      <c r="R761" s="152"/>
      <c r="S761" s="152">
        <f t="shared" si="171"/>
        <v>0</v>
      </c>
      <c r="T761" s="152"/>
      <c r="U761" s="152"/>
      <c r="V761" s="152"/>
      <c r="W761" s="152">
        <f t="shared" si="170"/>
        <v>59286.28</v>
      </c>
      <c r="X761" s="666"/>
      <c r="Y761" s="666"/>
      <c r="Z761" s="666"/>
      <c r="AA761" s="666"/>
      <c r="AB761" s="666"/>
      <c r="AC761" s="666"/>
      <c r="AD761" s="666"/>
      <c r="AE761" s="666"/>
    </row>
    <row r="762" spans="2:31" ht="45">
      <c r="B762" s="193">
        <v>3</v>
      </c>
      <c r="C762" s="376" t="s">
        <v>457</v>
      </c>
      <c r="D762" s="188" t="s">
        <v>458</v>
      </c>
      <c r="E762" s="2"/>
      <c r="F762" s="579"/>
      <c r="G762" s="20"/>
      <c r="H762" s="143"/>
      <c r="I762" s="143"/>
      <c r="J762" s="143"/>
      <c r="K762" s="189">
        <v>837782.35</v>
      </c>
      <c r="L762" s="143"/>
      <c r="M762" s="143">
        <f t="shared" si="169"/>
        <v>837782.35</v>
      </c>
      <c r="N762" s="141"/>
      <c r="O762" s="141"/>
      <c r="P762" s="141"/>
      <c r="Q762" s="152"/>
      <c r="R762" s="152"/>
      <c r="S762" s="152">
        <f t="shared" si="171"/>
        <v>0</v>
      </c>
      <c r="T762" s="152"/>
      <c r="U762" s="152"/>
      <c r="V762" s="152"/>
      <c r="W762" s="152">
        <f t="shared" si="170"/>
        <v>837782.35</v>
      </c>
      <c r="X762" s="666"/>
      <c r="Y762" s="666"/>
      <c r="Z762" s="666"/>
      <c r="AA762" s="666"/>
      <c r="AB762" s="666"/>
      <c r="AC762" s="666"/>
      <c r="AD762" s="666"/>
      <c r="AE762" s="666"/>
    </row>
    <row r="763" spans="2:31" ht="15.75">
      <c r="B763" s="193"/>
      <c r="C763" s="376"/>
      <c r="D763" s="186" t="s">
        <v>459</v>
      </c>
      <c r="E763" s="2"/>
      <c r="F763" s="579"/>
      <c r="G763" s="20"/>
      <c r="H763" s="143"/>
      <c r="I763" s="143"/>
      <c r="J763" s="143"/>
      <c r="K763" s="197">
        <f>SUM(K764:K768)</f>
        <v>954640.5</v>
      </c>
      <c r="L763" s="143"/>
      <c r="M763" s="143" t="s">
        <v>29</v>
      </c>
      <c r="N763" s="141"/>
      <c r="O763" s="141"/>
      <c r="P763" s="141"/>
      <c r="Q763" s="152"/>
      <c r="R763" s="152"/>
      <c r="S763" s="152" t="s">
        <v>29</v>
      </c>
      <c r="T763" s="152"/>
      <c r="U763" s="152"/>
      <c r="V763" s="152"/>
      <c r="W763" s="152" t="s">
        <v>29</v>
      </c>
      <c r="X763" s="666"/>
      <c r="Y763" s="666"/>
      <c r="Z763" s="666"/>
      <c r="AA763" s="666"/>
      <c r="AB763" s="666"/>
      <c r="AC763" s="666"/>
      <c r="AD763" s="666"/>
      <c r="AE763" s="666"/>
    </row>
    <row r="764" spans="2:31" ht="31.5">
      <c r="B764" s="193">
        <v>1</v>
      </c>
      <c r="C764" s="376" t="s">
        <v>618</v>
      </c>
      <c r="D764" s="188" t="s">
        <v>460</v>
      </c>
      <c r="E764" s="2"/>
      <c r="F764" s="579"/>
      <c r="G764" s="20"/>
      <c r="H764" s="143"/>
      <c r="I764" s="143"/>
      <c r="J764" s="143"/>
      <c r="K764" s="198">
        <v>491217.39500000002</v>
      </c>
      <c r="L764" s="143"/>
      <c r="M764" s="143">
        <f t="shared" si="169"/>
        <v>491217.39500000002</v>
      </c>
      <c r="N764" s="141"/>
      <c r="O764" s="141"/>
      <c r="P764" s="141"/>
      <c r="Q764" s="152">
        <f>218451.13+420845.41+35290.37+182241.45+139129.24</f>
        <v>995957.60000000009</v>
      </c>
      <c r="R764" s="152"/>
      <c r="S764" s="152">
        <f t="shared" si="171"/>
        <v>995957.60000000009</v>
      </c>
      <c r="T764" s="152"/>
      <c r="U764" s="152"/>
      <c r="V764" s="152"/>
      <c r="W764" s="205">
        <f t="shared" si="170"/>
        <v>-504740.20500000007</v>
      </c>
      <c r="X764" s="666"/>
      <c r="Y764" s="666"/>
      <c r="Z764" s="666"/>
      <c r="AA764" s="666"/>
      <c r="AB764" s="666"/>
      <c r="AC764" s="666"/>
      <c r="AD764" s="666"/>
      <c r="AE764" s="666"/>
    </row>
    <row r="765" spans="2:31" ht="31.5">
      <c r="B765" s="193">
        <v>2</v>
      </c>
      <c r="C765" s="376" t="s">
        <v>619</v>
      </c>
      <c r="D765" s="188" t="s">
        <v>461</v>
      </c>
      <c r="E765" s="2"/>
      <c r="F765" s="579"/>
      <c r="G765" s="20"/>
      <c r="H765" s="143"/>
      <c r="I765" s="143"/>
      <c r="J765" s="143"/>
      <c r="K765" s="198">
        <v>119147.93</v>
      </c>
      <c r="L765" s="143"/>
      <c r="M765" s="143">
        <f t="shared" si="169"/>
        <v>119147.93</v>
      </c>
      <c r="N765" s="141"/>
      <c r="O765" s="141"/>
      <c r="P765" s="141"/>
      <c r="Q765" s="152">
        <f>23439.18+169327.49+72139.42</f>
        <v>264906.08999999997</v>
      </c>
      <c r="R765" s="152"/>
      <c r="S765" s="152">
        <f t="shared" si="171"/>
        <v>264906.08999999997</v>
      </c>
      <c r="T765" s="152"/>
      <c r="U765" s="152"/>
      <c r="V765" s="152"/>
      <c r="W765" s="205">
        <f t="shared" si="170"/>
        <v>-145758.15999999997</v>
      </c>
      <c r="X765" s="666"/>
      <c r="Y765" s="666"/>
      <c r="Z765" s="666"/>
      <c r="AA765" s="666"/>
      <c r="AB765" s="666"/>
      <c r="AC765" s="666"/>
      <c r="AD765" s="666"/>
      <c r="AE765" s="666"/>
    </row>
    <row r="766" spans="2:31" ht="31.5">
      <c r="B766" s="193">
        <v>3</v>
      </c>
      <c r="C766" s="376" t="s">
        <v>620</v>
      </c>
      <c r="D766" s="188" t="s">
        <v>462</v>
      </c>
      <c r="E766" s="2"/>
      <c r="F766" s="579"/>
      <c r="G766" s="20"/>
      <c r="H766" s="143"/>
      <c r="I766" s="143"/>
      <c r="J766" s="143"/>
      <c r="K766" s="198">
        <v>122338.37</v>
      </c>
      <c r="L766" s="143"/>
      <c r="M766" s="143">
        <f t="shared" si="169"/>
        <v>122338.37</v>
      </c>
      <c r="N766" s="141"/>
      <c r="O766" s="141"/>
      <c r="P766" s="141"/>
      <c r="Q766" s="152">
        <f>81631.38+23624.88+168244.64</f>
        <v>273500.90000000002</v>
      </c>
      <c r="R766" s="152"/>
      <c r="S766" s="152">
        <f t="shared" si="171"/>
        <v>273500.90000000002</v>
      </c>
      <c r="T766" s="152"/>
      <c r="U766" s="152"/>
      <c r="V766" s="152"/>
      <c r="W766" s="152">
        <f t="shared" si="170"/>
        <v>-151162.53000000003</v>
      </c>
      <c r="X766" s="666"/>
      <c r="Y766" s="666"/>
      <c r="Z766" s="666"/>
      <c r="AA766" s="666"/>
      <c r="AB766" s="666"/>
      <c r="AC766" s="666"/>
      <c r="AD766" s="666"/>
      <c r="AE766" s="666"/>
    </row>
    <row r="767" spans="2:31" ht="47.25">
      <c r="B767" s="193">
        <v>4</v>
      </c>
      <c r="C767" s="376" t="s">
        <v>621</v>
      </c>
      <c r="D767" s="188" t="s">
        <v>463</v>
      </c>
      <c r="E767" s="2"/>
      <c r="F767" s="579"/>
      <c r="G767" s="20"/>
      <c r="H767" s="143"/>
      <c r="I767" s="143"/>
      <c r="J767" s="143"/>
      <c r="K767" s="198">
        <v>114448.19749999999</v>
      </c>
      <c r="L767" s="143"/>
      <c r="M767" s="143">
        <f t="shared" si="169"/>
        <v>114448.19749999999</v>
      </c>
      <c r="N767" s="141"/>
      <c r="O767" s="141"/>
      <c r="P767" s="141"/>
      <c r="Q767" s="152">
        <f>0+46718.56+126250.04+62261.45+539.95</f>
        <v>235770</v>
      </c>
      <c r="R767" s="152"/>
      <c r="S767" s="152">
        <f t="shared" si="171"/>
        <v>235770</v>
      </c>
      <c r="T767" s="152"/>
      <c r="U767" s="152"/>
      <c r="V767" s="152"/>
      <c r="W767" s="205">
        <f t="shared" si="170"/>
        <v>-121321.80250000001</v>
      </c>
      <c r="X767" s="666"/>
      <c r="Y767" s="666"/>
      <c r="Z767" s="666"/>
      <c r="AA767" s="666"/>
      <c r="AB767" s="666"/>
      <c r="AC767" s="666"/>
      <c r="AD767" s="666"/>
      <c r="AE767" s="666"/>
    </row>
    <row r="768" spans="2:31" ht="31.5">
      <c r="B768" s="193">
        <v>5</v>
      </c>
      <c r="C768" s="376" t="s">
        <v>622</v>
      </c>
      <c r="D768" s="188" t="s">
        <v>464</v>
      </c>
      <c r="E768" s="2"/>
      <c r="F768" s="579"/>
      <c r="G768" s="20"/>
      <c r="H768" s="143"/>
      <c r="I768" s="143"/>
      <c r="J768" s="143"/>
      <c r="K768" s="198">
        <v>107488.6075</v>
      </c>
      <c r="L768" s="143"/>
      <c r="M768" s="143">
        <f t="shared" si="169"/>
        <v>107488.6075</v>
      </c>
      <c r="N768" s="141"/>
      <c r="O768" s="141"/>
      <c r="P768" s="141"/>
      <c r="Q768" s="152">
        <f>55180.74+52307.86+111884.66</f>
        <v>219373.26</v>
      </c>
      <c r="R768" s="152"/>
      <c r="S768" s="152">
        <f t="shared" si="171"/>
        <v>219373.26</v>
      </c>
      <c r="T768" s="152"/>
      <c r="U768" s="152"/>
      <c r="V768" s="152"/>
      <c r="W768" s="152">
        <f t="shared" si="170"/>
        <v>-111884.65250000001</v>
      </c>
      <c r="X768" s="666"/>
      <c r="Y768" s="666"/>
      <c r="Z768" s="666"/>
      <c r="AA768" s="666"/>
      <c r="AB768" s="666"/>
      <c r="AC768" s="666"/>
      <c r="AD768" s="666"/>
      <c r="AE768" s="666"/>
    </row>
    <row r="769" spans="2:31" ht="15.75">
      <c r="B769" s="193"/>
      <c r="C769" s="376"/>
      <c r="D769" s="186" t="s">
        <v>465</v>
      </c>
      <c r="E769" s="2"/>
      <c r="F769" s="579"/>
      <c r="G769" s="20"/>
      <c r="H769" s="143"/>
      <c r="I769" s="143"/>
      <c r="J769" s="143"/>
      <c r="K769" s="197">
        <f>SUM(K770:K814)</f>
        <v>28263555.588</v>
      </c>
      <c r="L769" s="143"/>
      <c r="M769" s="143" t="s">
        <v>29</v>
      </c>
      <c r="N769" s="141"/>
      <c r="O769" s="141"/>
      <c r="P769" s="141"/>
      <c r="Q769" s="152"/>
      <c r="R769" s="152"/>
      <c r="S769" s="152" t="s">
        <v>29</v>
      </c>
      <c r="T769" s="152"/>
      <c r="U769" s="152"/>
      <c r="V769" s="152"/>
      <c r="W769" s="152" t="s">
        <v>29</v>
      </c>
      <c r="X769" s="666"/>
      <c r="Y769" s="666"/>
      <c r="Z769" s="666"/>
      <c r="AA769" s="666"/>
      <c r="AB769" s="666"/>
      <c r="AC769" s="666"/>
      <c r="AD769" s="666"/>
      <c r="AE769" s="666"/>
    </row>
    <row r="770" spans="2:31" ht="31.5">
      <c r="B770" s="193">
        <v>1</v>
      </c>
      <c r="C770" s="376" t="s">
        <v>623</v>
      </c>
      <c r="D770" s="188" t="s">
        <v>466</v>
      </c>
      <c r="E770" s="2"/>
      <c r="F770" s="579"/>
      <c r="G770" s="20"/>
      <c r="H770" s="143"/>
      <c r="I770" s="143"/>
      <c r="J770" s="143"/>
      <c r="K770" s="198">
        <v>40345.980000000003</v>
      </c>
      <c r="L770" s="143"/>
      <c r="M770" s="143">
        <f t="shared" si="169"/>
        <v>40345.980000000003</v>
      </c>
      <c r="N770" s="141"/>
      <c r="O770" s="141"/>
      <c r="P770" s="141"/>
      <c r="Q770" s="152">
        <v>255381.45</v>
      </c>
      <c r="R770" s="152"/>
      <c r="S770" s="152">
        <f t="shared" si="171"/>
        <v>255381.45</v>
      </c>
      <c r="T770" s="152"/>
      <c r="U770" s="152"/>
      <c r="V770" s="152"/>
      <c r="W770" s="205">
        <f t="shared" si="170"/>
        <v>-215035.47</v>
      </c>
      <c r="X770" s="666"/>
      <c r="Y770" s="666"/>
      <c r="Z770" s="666"/>
      <c r="AA770" s="666"/>
      <c r="AB770" s="666"/>
      <c r="AC770" s="666"/>
      <c r="AD770" s="666"/>
      <c r="AE770" s="666"/>
    </row>
    <row r="771" spans="2:31" ht="31.5">
      <c r="B771" s="193">
        <v>2</v>
      </c>
      <c r="C771" s="376" t="s">
        <v>624</v>
      </c>
      <c r="D771" s="188" t="s">
        <v>467</v>
      </c>
      <c r="E771" s="2"/>
      <c r="F771" s="579"/>
      <c r="G771" s="20"/>
      <c r="H771" s="143"/>
      <c r="I771" s="143"/>
      <c r="J771" s="143"/>
      <c r="K771" s="198">
        <v>366751.58000000019</v>
      </c>
      <c r="L771" s="143"/>
      <c r="M771" s="143">
        <f t="shared" si="169"/>
        <v>366751.58000000019</v>
      </c>
      <c r="N771" s="141"/>
      <c r="O771" s="141"/>
      <c r="P771" s="141"/>
      <c r="Q771" s="152">
        <f>643685.26+14004.71+146899.38+274542.46</f>
        <v>1079131.81</v>
      </c>
      <c r="R771" s="152"/>
      <c r="S771" s="152">
        <f t="shared" si="171"/>
        <v>1079131.81</v>
      </c>
      <c r="T771" s="152"/>
      <c r="U771" s="152"/>
      <c r="V771" s="152"/>
      <c r="W771" s="205">
        <f t="shared" si="170"/>
        <v>-712380.22999999986</v>
      </c>
      <c r="X771" s="666"/>
      <c r="Y771" s="666"/>
      <c r="Z771" s="666"/>
      <c r="AA771" s="666"/>
      <c r="AB771" s="666"/>
      <c r="AC771" s="666"/>
      <c r="AD771" s="666"/>
      <c r="AE771" s="666"/>
    </row>
    <row r="772" spans="2:31" ht="31.5">
      <c r="B772" s="193">
        <v>3</v>
      </c>
      <c r="C772" s="376" t="s">
        <v>625</v>
      </c>
      <c r="D772" s="188" t="s">
        <v>468</v>
      </c>
      <c r="E772" s="2"/>
      <c r="F772" s="579"/>
      <c r="G772" s="20"/>
      <c r="H772" s="143"/>
      <c r="I772" s="143"/>
      <c r="J772" s="143"/>
      <c r="K772" s="198">
        <v>131247.12799999979</v>
      </c>
      <c r="L772" s="143"/>
      <c r="M772" s="143">
        <f t="shared" si="169"/>
        <v>131247.12799999979</v>
      </c>
      <c r="N772" s="141"/>
      <c r="O772" s="141"/>
      <c r="P772" s="141"/>
      <c r="Q772" s="152">
        <v>207426.01</v>
      </c>
      <c r="R772" s="152"/>
      <c r="S772" s="152">
        <f t="shared" si="171"/>
        <v>207426.01</v>
      </c>
      <c r="T772" s="152"/>
      <c r="U772" s="152"/>
      <c r="V772" s="152"/>
      <c r="W772" s="205">
        <f t="shared" si="170"/>
        <v>-76178.882000000216</v>
      </c>
      <c r="X772" s="666"/>
      <c r="Y772" s="666"/>
      <c r="Z772" s="666"/>
      <c r="AA772" s="666"/>
      <c r="AB772" s="666"/>
      <c r="AC772" s="666"/>
      <c r="AD772" s="666"/>
      <c r="AE772" s="666"/>
    </row>
    <row r="773" spans="2:31" ht="31.5">
      <c r="B773" s="193">
        <v>4</v>
      </c>
      <c r="C773" s="376" t="s">
        <v>626</v>
      </c>
      <c r="D773" s="188" t="s">
        <v>469</v>
      </c>
      <c r="E773" s="2"/>
      <c r="F773" s="579"/>
      <c r="G773" s="20"/>
      <c r="H773" s="143"/>
      <c r="I773" s="143"/>
      <c r="J773" s="143"/>
      <c r="K773" s="198">
        <v>164421.22</v>
      </c>
      <c r="L773" s="143"/>
      <c r="M773" s="143">
        <f t="shared" si="169"/>
        <v>164421.22</v>
      </c>
      <c r="N773" s="141"/>
      <c r="O773" s="141"/>
      <c r="P773" s="141"/>
      <c r="Q773" s="152"/>
      <c r="R773" s="152"/>
      <c r="S773" s="152">
        <f t="shared" si="171"/>
        <v>0</v>
      </c>
      <c r="T773" s="152"/>
      <c r="U773" s="152"/>
      <c r="V773" s="152"/>
      <c r="W773" s="152">
        <f t="shared" si="170"/>
        <v>164421.22</v>
      </c>
      <c r="X773" s="666"/>
      <c r="Y773" s="666"/>
      <c r="Z773" s="666"/>
      <c r="AA773" s="666"/>
      <c r="AB773" s="666"/>
      <c r="AC773" s="666"/>
      <c r="AD773" s="666"/>
      <c r="AE773" s="666"/>
    </row>
    <row r="774" spans="2:31" ht="31.5">
      <c r="B774" s="193">
        <v>5</v>
      </c>
      <c r="C774" s="376" t="s">
        <v>627</v>
      </c>
      <c r="D774" s="188" t="s">
        <v>470</v>
      </c>
      <c r="E774" s="2"/>
      <c r="F774" s="579"/>
      <c r="G774" s="20"/>
      <c r="H774" s="143"/>
      <c r="I774" s="143"/>
      <c r="J774" s="143"/>
      <c r="K774" s="198">
        <v>502858.98</v>
      </c>
      <c r="L774" s="143"/>
      <c r="M774" s="143">
        <f t="shared" si="169"/>
        <v>502858.98</v>
      </c>
      <c r="N774" s="141"/>
      <c r="O774" s="141"/>
      <c r="P774" s="141"/>
      <c r="Q774" s="152">
        <f>68623.93+171104.74+65876.68+150085.95+259836.56+4833.5+11258.7+4639.99+9875.66+242739.32</f>
        <v>988875.03</v>
      </c>
      <c r="R774" s="152"/>
      <c r="S774" s="152">
        <f t="shared" si="171"/>
        <v>988875.03</v>
      </c>
      <c r="T774" s="152"/>
      <c r="U774" s="152"/>
      <c r="V774" s="152"/>
      <c r="W774" s="152">
        <f t="shared" si="170"/>
        <v>-486016.05000000005</v>
      </c>
      <c r="X774" s="666"/>
      <c r="Y774" s="666"/>
      <c r="Z774" s="666"/>
      <c r="AA774" s="666"/>
      <c r="AB774" s="666"/>
      <c r="AC774" s="666"/>
      <c r="AD774" s="666"/>
      <c r="AE774" s="666"/>
    </row>
    <row r="775" spans="2:31" ht="30">
      <c r="B775" s="193">
        <v>6</v>
      </c>
      <c r="C775" s="376" t="s">
        <v>628</v>
      </c>
      <c r="D775" s="188" t="s">
        <v>471</v>
      </c>
      <c r="E775" s="2"/>
      <c r="F775" s="579"/>
      <c r="G775" s="20"/>
      <c r="H775" s="143"/>
      <c r="I775" s="143"/>
      <c r="J775" s="143"/>
      <c r="K775" s="198">
        <v>474135.45999999996</v>
      </c>
      <c r="L775" s="143"/>
      <c r="M775" s="143">
        <f t="shared" si="169"/>
        <v>474135.45999999996</v>
      </c>
      <c r="N775" s="141"/>
      <c r="O775" s="141"/>
      <c r="P775" s="141"/>
      <c r="Q775" s="152">
        <f>251814.95+14395.98+148474.05+0+295762.59</f>
        <v>710447.57000000007</v>
      </c>
      <c r="R775" s="152"/>
      <c r="S775" s="152">
        <f t="shared" si="171"/>
        <v>710447.57000000007</v>
      </c>
      <c r="T775" s="152"/>
      <c r="U775" s="152"/>
      <c r="V775" s="152"/>
      <c r="W775" s="152">
        <f t="shared" si="170"/>
        <v>-236312.1100000001</v>
      </c>
      <c r="X775" s="666"/>
      <c r="Y775" s="666"/>
      <c r="Z775" s="666"/>
      <c r="AA775" s="666"/>
      <c r="AB775" s="666"/>
      <c r="AC775" s="666"/>
      <c r="AD775" s="666"/>
      <c r="AE775" s="666"/>
    </row>
    <row r="776" spans="2:31" ht="31.5">
      <c r="B776" s="193">
        <v>7</v>
      </c>
      <c r="C776" s="376" t="s">
        <v>629</v>
      </c>
      <c r="D776" s="188" t="s">
        <v>472</v>
      </c>
      <c r="E776" s="2"/>
      <c r="F776" s="579"/>
      <c r="G776" s="20"/>
      <c r="H776" s="143"/>
      <c r="I776" s="143"/>
      <c r="J776" s="143"/>
      <c r="K776" s="198">
        <v>271762.25</v>
      </c>
      <c r="L776" s="143"/>
      <c r="M776" s="143">
        <f t="shared" si="169"/>
        <v>271762.25</v>
      </c>
      <c r="N776" s="141"/>
      <c r="O776" s="141"/>
      <c r="P776" s="141"/>
      <c r="Q776" s="152">
        <f>137054.97+24702.17+220124.56</f>
        <v>381881.7</v>
      </c>
      <c r="R776" s="152"/>
      <c r="S776" s="152">
        <f t="shared" si="171"/>
        <v>381881.7</v>
      </c>
      <c r="T776" s="152"/>
      <c r="U776" s="152"/>
      <c r="V776" s="152"/>
      <c r="W776" s="152">
        <f t="shared" si="170"/>
        <v>-110119.45000000001</v>
      </c>
      <c r="X776" s="666"/>
      <c r="Y776" s="666"/>
      <c r="Z776" s="666"/>
      <c r="AA776" s="666"/>
      <c r="AB776" s="666"/>
      <c r="AC776" s="666"/>
      <c r="AD776" s="666"/>
      <c r="AE776" s="666"/>
    </row>
    <row r="777" spans="2:31" ht="31.5">
      <c r="B777" s="193">
        <v>8</v>
      </c>
      <c r="C777" s="376" t="s">
        <v>630</v>
      </c>
      <c r="D777" s="188" t="s">
        <v>473</v>
      </c>
      <c r="E777" s="2"/>
      <c r="F777" s="579"/>
      <c r="G777" s="20"/>
      <c r="H777" s="143"/>
      <c r="I777" s="143"/>
      <c r="J777" s="143"/>
      <c r="K777" s="198">
        <v>1455352.5</v>
      </c>
      <c r="L777" s="143"/>
      <c r="M777" s="143">
        <f t="shared" si="169"/>
        <v>1455352.5</v>
      </c>
      <c r="N777" s="141"/>
      <c r="O777" s="141"/>
      <c r="P777" s="141"/>
      <c r="Q777" s="152">
        <f>104953.58+146456.09+197884.26+418984.67+207832.46+987163.59</f>
        <v>2063274.65</v>
      </c>
      <c r="R777" s="152"/>
      <c r="S777" s="152">
        <f t="shared" si="171"/>
        <v>2063274.65</v>
      </c>
      <c r="T777" s="152"/>
      <c r="U777" s="152"/>
      <c r="V777" s="152"/>
      <c r="W777" s="152">
        <f t="shared" si="170"/>
        <v>-607922.14999999991</v>
      </c>
      <c r="X777" s="666"/>
      <c r="Y777" s="666"/>
      <c r="Z777" s="666"/>
      <c r="AA777" s="666"/>
      <c r="AB777" s="666"/>
      <c r="AC777" s="666"/>
      <c r="AD777" s="666"/>
      <c r="AE777" s="666"/>
    </row>
    <row r="778" spans="2:31" ht="31.5">
      <c r="B778" s="193">
        <v>9</v>
      </c>
      <c r="C778" s="376" t="s">
        <v>631</v>
      </c>
      <c r="D778" s="188" t="s">
        <v>474</v>
      </c>
      <c r="E778" s="2"/>
      <c r="F778" s="579"/>
      <c r="G778" s="20"/>
      <c r="H778" s="143"/>
      <c r="I778" s="143"/>
      <c r="J778" s="143"/>
      <c r="K778" s="198">
        <v>1983078.32</v>
      </c>
      <c r="L778" s="143"/>
      <c r="M778" s="143">
        <f t="shared" si="169"/>
        <v>1983078.32</v>
      </c>
      <c r="N778" s="141"/>
      <c r="O778" s="141"/>
      <c r="P778" s="141"/>
      <c r="Q778" s="152">
        <f>245157.64+268499.47+192448.25+551980.17</f>
        <v>1258085.53</v>
      </c>
      <c r="R778" s="152"/>
      <c r="S778" s="152">
        <f t="shared" si="171"/>
        <v>1258085.53</v>
      </c>
      <c r="T778" s="152"/>
      <c r="U778" s="152"/>
      <c r="V778" s="152"/>
      <c r="W778" s="152">
        <f t="shared" si="170"/>
        <v>724992.79</v>
      </c>
      <c r="X778" s="666"/>
      <c r="Y778" s="666"/>
      <c r="Z778" s="666"/>
      <c r="AA778" s="666"/>
      <c r="AB778" s="666"/>
      <c r="AC778" s="666"/>
      <c r="AD778" s="666"/>
      <c r="AE778" s="666"/>
    </row>
    <row r="779" spans="2:31" ht="31.5">
      <c r="B779" s="193">
        <v>10</v>
      </c>
      <c r="C779" s="376" t="s">
        <v>632</v>
      </c>
      <c r="D779" s="188" t="s">
        <v>475</v>
      </c>
      <c r="E779" s="2"/>
      <c r="F779" s="579"/>
      <c r="G779" s="20"/>
      <c r="H779" s="143"/>
      <c r="I779" s="143"/>
      <c r="J779" s="143"/>
      <c r="K779" s="198">
        <v>1223466.32</v>
      </c>
      <c r="L779" s="143"/>
      <c r="M779" s="143">
        <f t="shared" si="169"/>
        <v>1223466.32</v>
      </c>
      <c r="N779" s="141"/>
      <c r="O779" s="141"/>
      <c r="P779" s="141"/>
      <c r="Q779" s="152">
        <f>108156.74+109529.57+319668.19</f>
        <v>537354.5</v>
      </c>
      <c r="R779" s="152"/>
      <c r="S779" s="152">
        <f t="shared" si="171"/>
        <v>537354.5</v>
      </c>
      <c r="T779" s="152"/>
      <c r="U779" s="152"/>
      <c r="V779" s="152"/>
      <c r="W779" s="152">
        <f t="shared" si="170"/>
        <v>686111.82000000007</v>
      </c>
      <c r="X779" s="666"/>
      <c r="Y779" s="666"/>
      <c r="Z779" s="666"/>
      <c r="AA779" s="666"/>
      <c r="AB779" s="666"/>
      <c r="AC779" s="666"/>
      <c r="AD779" s="666"/>
      <c r="AE779" s="666"/>
    </row>
    <row r="780" spans="2:31" ht="31.5">
      <c r="B780" s="193">
        <v>11</v>
      </c>
      <c r="C780" s="376" t="s">
        <v>633</v>
      </c>
      <c r="D780" s="188" t="s">
        <v>476</v>
      </c>
      <c r="E780" s="2"/>
      <c r="F780" s="579"/>
      <c r="G780" s="20"/>
      <c r="H780" s="143"/>
      <c r="I780" s="143"/>
      <c r="J780" s="143"/>
      <c r="K780" s="198">
        <v>1313779</v>
      </c>
      <c r="L780" s="143"/>
      <c r="M780" s="143">
        <f t="shared" si="169"/>
        <v>1313779</v>
      </c>
      <c r="N780" s="141"/>
      <c r="O780" s="141"/>
      <c r="P780" s="141"/>
      <c r="Q780" s="152">
        <f>411890.01+288494.39+1108692.48</f>
        <v>1809076.88</v>
      </c>
      <c r="R780" s="152"/>
      <c r="S780" s="152">
        <f t="shared" si="171"/>
        <v>1809076.88</v>
      </c>
      <c r="T780" s="152"/>
      <c r="U780" s="152"/>
      <c r="V780" s="152"/>
      <c r="W780" s="152">
        <f t="shared" si="170"/>
        <v>-495297.87999999989</v>
      </c>
      <c r="X780" s="666"/>
      <c r="Y780" s="666"/>
      <c r="Z780" s="666"/>
      <c r="AA780" s="666"/>
      <c r="AB780" s="666"/>
      <c r="AC780" s="666"/>
      <c r="AD780" s="666"/>
      <c r="AE780" s="666"/>
    </row>
    <row r="781" spans="2:31" ht="31.5">
      <c r="B781" s="193">
        <v>12</v>
      </c>
      <c r="C781" s="376" t="s">
        <v>634</v>
      </c>
      <c r="D781" s="188" t="s">
        <v>477</v>
      </c>
      <c r="E781" s="2"/>
      <c r="F781" s="579"/>
      <c r="G781" s="20"/>
      <c r="H781" s="143"/>
      <c r="I781" s="143"/>
      <c r="J781" s="143"/>
      <c r="K781" s="198">
        <v>1733018.69</v>
      </c>
      <c r="L781" s="143"/>
      <c r="M781" s="143">
        <f t="shared" si="169"/>
        <v>1733018.69</v>
      </c>
      <c r="N781" s="141"/>
      <c r="O781" s="141"/>
      <c r="P781" s="141"/>
      <c r="Q781" s="152">
        <f>260984.69+179895.41+488119.42+354923.55+1270505.39</f>
        <v>2554428.46</v>
      </c>
      <c r="R781" s="152"/>
      <c r="S781" s="152">
        <f t="shared" si="171"/>
        <v>2554428.46</v>
      </c>
      <c r="T781" s="152"/>
      <c r="U781" s="152"/>
      <c r="V781" s="152"/>
      <c r="W781" s="152">
        <f t="shared" si="170"/>
        <v>-821409.77</v>
      </c>
      <c r="X781" s="666"/>
      <c r="Y781" s="666"/>
      <c r="Z781" s="666"/>
      <c r="AA781" s="666"/>
      <c r="AB781" s="666"/>
      <c r="AC781" s="666"/>
      <c r="AD781" s="666"/>
      <c r="AE781" s="666"/>
    </row>
    <row r="782" spans="2:31" ht="15.75">
      <c r="B782" s="193">
        <v>13</v>
      </c>
      <c r="C782" s="376" t="s">
        <v>635</v>
      </c>
      <c r="D782" s="188" t="s">
        <v>478</v>
      </c>
      <c r="E782" s="2"/>
      <c r="F782" s="579"/>
      <c r="G782" s="20"/>
      <c r="H782" s="143"/>
      <c r="I782" s="143"/>
      <c r="J782" s="143"/>
      <c r="K782" s="198">
        <v>935858.87</v>
      </c>
      <c r="L782" s="143"/>
      <c r="M782" s="143">
        <f t="shared" si="169"/>
        <v>935858.87</v>
      </c>
      <c r="N782" s="141"/>
      <c r="O782" s="141"/>
      <c r="P782" s="141"/>
      <c r="Q782" s="152">
        <f>178756.31+82173.74+346512.07+97511.92+161506.19+550348.54</f>
        <v>1416808.77</v>
      </c>
      <c r="R782" s="152"/>
      <c r="S782" s="152">
        <f t="shared" si="171"/>
        <v>1416808.77</v>
      </c>
      <c r="T782" s="152"/>
      <c r="U782" s="152"/>
      <c r="V782" s="152"/>
      <c r="W782" s="152">
        <f t="shared" si="170"/>
        <v>-480949.9</v>
      </c>
      <c r="X782" s="666"/>
      <c r="Y782" s="666"/>
      <c r="Z782" s="666"/>
      <c r="AA782" s="666"/>
      <c r="AB782" s="666"/>
      <c r="AC782" s="666"/>
      <c r="AD782" s="666"/>
      <c r="AE782" s="666"/>
    </row>
    <row r="783" spans="2:31" ht="31.5">
      <c r="B783" s="193">
        <v>14</v>
      </c>
      <c r="C783" s="376" t="s">
        <v>636</v>
      </c>
      <c r="D783" s="188" t="s">
        <v>479</v>
      </c>
      <c r="E783" s="2"/>
      <c r="F783" s="579"/>
      <c r="G783" s="20"/>
      <c r="H783" s="143"/>
      <c r="I783" s="143"/>
      <c r="J783" s="143"/>
      <c r="K783" s="198">
        <v>121627.32</v>
      </c>
      <c r="L783" s="143"/>
      <c r="M783" s="143">
        <f t="shared" si="169"/>
        <v>121627.32</v>
      </c>
      <c r="N783" s="141"/>
      <c r="O783" s="141"/>
      <c r="P783" s="141"/>
      <c r="Q783" s="152">
        <v>176616.95999999999</v>
      </c>
      <c r="R783" s="152"/>
      <c r="S783" s="152">
        <f t="shared" si="171"/>
        <v>176616.95999999999</v>
      </c>
      <c r="T783" s="152"/>
      <c r="U783" s="152"/>
      <c r="V783" s="152"/>
      <c r="W783" s="152">
        <f t="shared" si="170"/>
        <v>-54989.639999999985</v>
      </c>
      <c r="X783" s="666"/>
      <c r="Y783" s="666"/>
      <c r="Z783" s="666"/>
      <c r="AA783" s="666"/>
      <c r="AB783" s="666"/>
      <c r="AC783" s="666"/>
      <c r="AD783" s="666"/>
      <c r="AE783" s="666"/>
    </row>
    <row r="784" spans="2:31" ht="30">
      <c r="B784" s="193">
        <v>15</v>
      </c>
      <c r="C784" s="376" t="s">
        <v>637</v>
      </c>
      <c r="D784" s="188" t="s">
        <v>480</v>
      </c>
      <c r="E784" s="2"/>
      <c r="F784" s="579"/>
      <c r="G784" s="20"/>
      <c r="H784" s="143"/>
      <c r="I784" s="143"/>
      <c r="J784" s="143"/>
      <c r="K784" s="198">
        <v>278090.5</v>
      </c>
      <c r="L784" s="143"/>
      <c r="M784" s="143">
        <f t="shared" si="169"/>
        <v>278090.5</v>
      </c>
      <c r="N784" s="141"/>
      <c r="O784" s="141"/>
      <c r="P784" s="141"/>
      <c r="Q784" s="152"/>
      <c r="R784" s="152"/>
      <c r="S784" s="152">
        <f t="shared" si="171"/>
        <v>0</v>
      </c>
      <c r="T784" s="152"/>
      <c r="U784" s="152"/>
      <c r="V784" s="152"/>
      <c r="W784" s="152">
        <f t="shared" si="170"/>
        <v>278090.5</v>
      </c>
      <c r="X784" s="666"/>
      <c r="Y784" s="666"/>
      <c r="Z784" s="666"/>
      <c r="AA784" s="666"/>
      <c r="AB784" s="666"/>
      <c r="AC784" s="666"/>
      <c r="AD784" s="666"/>
      <c r="AE784" s="666"/>
    </row>
    <row r="785" spans="2:31" ht="31.5">
      <c r="B785" s="193">
        <v>16</v>
      </c>
      <c r="C785" s="376" t="s">
        <v>638</v>
      </c>
      <c r="D785" s="188" t="s">
        <v>481</v>
      </c>
      <c r="E785" s="2"/>
      <c r="F785" s="579"/>
      <c r="G785" s="20"/>
      <c r="H785" s="143"/>
      <c r="I785" s="143"/>
      <c r="J785" s="143"/>
      <c r="K785" s="198">
        <v>841849.40999999992</v>
      </c>
      <c r="L785" s="143"/>
      <c r="M785" s="143">
        <f t="shared" si="169"/>
        <v>841849.40999999992</v>
      </c>
      <c r="N785" s="141"/>
      <c r="O785" s="141"/>
      <c r="P785" s="141"/>
      <c r="Q785" s="152">
        <f>141651.01+123549.07+141232.25+104588.51+103898.58+637775.03</f>
        <v>1252694.4500000002</v>
      </c>
      <c r="R785" s="152"/>
      <c r="S785" s="152">
        <f t="shared" si="171"/>
        <v>1252694.4500000002</v>
      </c>
      <c r="T785" s="152"/>
      <c r="U785" s="152"/>
      <c r="V785" s="152"/>
      <c r="W785" s="152">
        <f t="shared" si="170"/>
        <v>-410845.04000000027</v>
      </c>
      <c r="X785" s="666"/>
      <c r="Y785" s="666"/>
      <c r="Z785" s="666"/>
      <c r="AA785" s="666"/>
      <c r="AB785" s="666"/>
      <c r="AC785" s="666"/>
      <c r="AD785" s="666"/>
      <c r="AE785" s="666"/>
    </row>
    <row r="786" spans="2:31" ht="31.5">
      <c r="B786" s="193">
        <v>17</v>
      </c>
      <c r="C786" s="376" t="s">
        <v>639</v>
      </c>
      <c r="D786" s="188" t="s">
        <v>482</v>
      </c>
      <c r="E786" s="2"/>
      <c r="F786" s="579"/>
      <c r="G786" s="20"/>
      <c r="H786" s="143"/>
      <c r="I786" s="143"/>
      <c r="J786" s="143"/>
      <c r="K786" s="198">
        <v>22974.91</v>
      </c>
      <c r="L786" s="143"/>
      <c r="M786" s="143">
        <f t="shared" si="169"/>
        <v>22974.91</v>
      </c>
      <c r="N786" s="141"/>
      <c r="O786" s="141"/>
      <c r="P786" s="141"/>
      <c r="Q786" s="152">
        <f>5028.93+3061.75+2654.23</f>
        <v>10744.91</v>
      </c>
      <c r="R786" s="152"/>
      <c r="S786" s="152">
        <f t="shared" si="171"/>
        <v>10744.91</v>
      </c>
      <c r="T786" s="152"/>
      <c r="U786" s="152"/>
      <c r="V786" s="152"/>
      <c r="W786" s="152">
        <f t="shared" si="170"/>
        <v>12230</v>
      </c>
      <c r="X786" s="666"/>
      <c r="Y786" s="666"/>
      <c r="Z786" s="666"/>
      <c r="AA786" s="666"/>
      <c r="AB786" s="666"/>
      <c r="AC786" s="666"/>
      <c r="AD786" s="666"/>
      <c r="AE786" s="666"/>
    </row>
    <row r="787" spans="2:31" ht="31.5">
      <c r="B787" s="193">
        <v>18</v>
      </c>
      <c r="C787" s="376" t="s">
        <v>640</v>
      </c>
      <c r="D787" s="188" t="s">
        <v>483</v>
      </c>
      <c r="E787" s="2"/>
      <c r="F787" s="579"/>
      <c r="G787" s="20"/>
      <c r="H787" s="143"/>
      <c r="I787" s="143"/>
      <c r="J787" s="143"/>
      <c r="K787" s="198">
        <v>395310.2</v>
      </c>
      <c r="L787" s="143"/>
      <c r="M787" s="143">
        <f t="shared" si="169"/>
        <v>395310.2</v>
      </c>
      <c r="N787" s="141"/>
      <c r="O787" s="141"/>
      <c r="P787" s="141"/>
      <c r="Q787" s="152">
        <f>24312.15+42073.99+84135.2+66542.09+296133.5+15632.67</f>
        <v>528829.6</v>
      </c>
      <c r="R787" s="152"/>
      <c r="S787" s="152">
        <f t="shared" si="171"/>
        <v>528829.6</v>
      </c>
      <c r="T787" s="152"/>
      <c r="U787" s="152"/>
      <c r="V787" s="152"/>
      <c r="W787" s="152">
        <f t="shared" si="170"/>
        <v>-133519.39999999997</v>
      </c>
      <c r="X787" s="666"/>
      <c r="Y787" s="666"/>
      <c r="Z787" s="666"/>
      <c r="AA787" s="666"/>
      <c r="AB787" s="666"/>
      <c r="AC787" s="666"/>
      <c r="AD787" s="666"/>
      <c r="AE787" s="666"/>
    </row>
    <row r="788" spans="2:31" ht="31.5">
      <c r="B788" s="193">
        <v>19</v>
      </c>
      <c r="C788" s="376" t="s">
        <v>641</v>
      </c>
      <c r="D788" s="188" t="s">
        <v>484</v>
      </c>
      <c r="E788" s="2"/>
      <c r="F788" s="579"/>
      <c r="G788" s="20"/>
      <c r="H788" s="143"/>
      <c r="I788" s="143"/>
      <c r="J788" s="143"/>
      <c r="K788" s="198">
        <v>483343</v>
      </c>
      <c r="L788" s="143"/>
      <c r="M788" s="143">
        <f t="shared" si="169"/>
        <v>483343</v>
      </c>
      <c r="N788" s="141"/>
      <c r="O788" s="141"/>
      <c r="P788" s="141"/>
      <c r="Q788" s="152">
        <f>197260.84+513376.2+238605.92</f>
        <v>949242.96000000008</v>
      </c>
      <c r="R788" s="152"/>
      <c r="S788" s="152">
        <f t="shared" si="171"/>
        <v>949242.96000000008</v>
      </c>
      <c r="T788" s="152"/>
      <c r="U788" s="152"/>
      <c r="V788" s="152"/>
      <c r="W788" s="152">
        <f t="shared" si="170"/>
        <v>-465899.96000000008</v>
      </c>
      <c r="X788" s="666"/>
      <c r="Y788" s="666"/>
      <c r="Z788" s="666"/>
      <c r="AA788" s="666"/>
      <c r="AB788" s="666"/>
      <c r="AC788" s="666"/>
      <c r="AD788" s="666"/>
      <c r="AE788" s="666"/>
    </row>
    <row r="789" spans="2:31" ht="30">
      <c r="B789" s="193">
        <v>20</v>
      </c>
      <c r="C789" s="376" t="s">
        <v>642</v>
      </c>
      <c r="D789" s="188" t="s">
        <v>485</v>
      </c>
      <c r="E789" s="2"/>
      <c r="F789" s="579"/>
      <c r="G789" s="20"/>
      <c r="H789" s="143"/>
      <c r="I789" s="143"/>
      <c r="J789" s="143"/>
      <c r="K789" s="198">
        <v>1316710.93</v>
      </c>
      <c r="L789" s="143"/>
      <c r="M789" s="143">
        <f t="shared" si="169"/>
        <v>1316710.93</v>
      </c>
      <c r="N789" s="141"/>
      <c r="O789" s="141"/>
      <c r="P789" s="141"/>
      <c r="Q789" s="152">
        <f>206608.38+467761.47+269541.92+118126.41+868863.01+280996.24</f>
        <v>2211897.4299999997</v>
      </c>
      <c r="R789" s="152"/>
      <c r="S789" s="152">
        <f t="shared" si="171"/>
        <v>2211897.4299999997</v>
      </c>
      <c r="T789" s="152"/>
      <c r="U789" s="152"/>
      <c r="V789" s="152"/>
      <c r="W789" s="205">
        <f t="shared" si="170"/>
        <v>-895186.49999999977</v>
      </c>
      <c r="X789" s="666"/>
      <c r="Y789" s="666"/>
      <c r="Z789" s="666"/>
      <c r="AA789" s="666"/>
      <c r="AB789" s="666"/>
      <c r="AC789" s="666"/>
      <c r="AD789" s="666"/>
      <c r="AE789" s="666"/>
    </row>
    <row r="790" spans="2:31" ht="31.5">
      <c r="B790" s="193">
        <v>21</v>
      </c>
      <c r="C790" s="376" t="s">
        <v>643</v>
      </c>
      <c r="D790" s="188" t="s">
        <v>486</v>
      </c>
      <c r="E790" s="2"/>
      <c r="F790" s="579"/>
      <c r="G790" s="20"/>
      <c r="H790" s="143"/>
      <c r="I790" s="143"/>
      <c r="J790" s="143"/>
      <c r="K790" s="198">
        <v>355340.79999999999</v>
      </c>
      <c r="L790" s="143"/>
      <c r="M790" s="143">
        <f t="shared" si="169"/>
        <v>355340.79999999999</v>
      </c>
      <c r="N790" s="141"/>
      <c r="O790" s="141"/>
      <c r="P790" s="141"/>
      <c r="Q790" s="152">
        <f>59366.8+123312.6+106848.03+273401.05</f>
        <v>562928.48</v>
      </c>
      <c r="R790" s="152"/>
      <c r="S790" s="152">
        <f t="shared" si="171"/>
        <v>562928.48</v>
      </c>
      <c r="T790" s="152"/>
      <c r="U790" s="152"/>
      <c r="V790" s="152"/>
      <c r="W790" s="152">
        <f t="shared" si="170"/>
        <v>-207587.68</v>
      </c>
      <c r="X790" s="666"/>
      <c r="Y790" s="666"/>
      <c r="Z790" s="666"/>
      <c r="AA790" s="666"/>
      <c r="AB790" s="666"/>
      <c r="AC790" s="666"/>
      <c r="AD790" s="666"/>
      <c r="AE790" s="666"/>
    </row>
    <row r="791" spans="2:31" ht="30">
      <c r="B791" s="193">
        <v>22</v>
      </c>
      <c r="C791" s="376" t="s">
        <v>644</v>
      </c>
      <c r="D791" s="188" t="s">
        <v>487</v>
      </c>
      <c r="E791" s="2"/>
      <c r="F791" s="579"/>
      <c r="G791" s="20"/>
      <c r="H791" s="143"/>
      <c r="I791" s="143"/>
      <c r="J791" s="143"/>
      <c r="K791" s="198">
        <v>191857.05</v>
      </c>
      <c r="L791" s="143"/>
      <c r="M791" s="143">
        <f t="shared" si="169"/>
        <v>191857.05</v>
      </c>
      <c r="N791" s="141"/>
      <c r="O791" s="141"/>
      <c r="P791" s="141"/>
      <c r="Q791" s="152"/>
      <c r="R791" s="152"/>
      <c r="S791" s="152">
        <f t="shared" si="171"/>
        <v>0</v>
      </c>
      <c r="T791" s="152"/>
      <c r="U791" s="152"/>
      <c r="V791" s="152"/>
      <c r="W791" s="152">
        <f t="shared" si="170"/>
        <v>191857.05</v>
      </c>
      <c r="X791" s="666"/>
      <c r="Y791" s="666"/>
      <c r="Z791" s="666"/>
      <c r="AA791" s="666"/>
      <c r="AB791" s="666"/>
      <c r="AC791" s="666"/>
      <c r="AD791" s="666"/>
      <c r="AE791" s="666"/>
    </row>
    <row r="792" spans="2:31" ht="30">
      <c r="B792" s="193">
        <v>23</v>
      </c>
      <c r="C792" s="376" t="s">
        <v>645</v>
      </c>
      <c r="D792" s="188" t="s">
        <v>488</v>
      </c>
      <c r="E792" s="2"/>
      <c r="F792" s="579"/>
      <c r="G792" s="20"/>
      <c r="H792" s="143"/>
      <c r="I792" s="143"/>
      <c r="J792" s="143"/>
      <c r="K792" s="198">
        <v>1155152.25</v>
      </c>
      <c r="L792" s="143"/>
      <c r="M792" s="143">
        <f t="shared" si="169"/>
        <v>1155152.25</v>
      </c>
      <c r="N792" s="141"/>
      <c r="O792" s="141"/>
      <c r="P792" s="141"/>
      <c r="Q792" s="152">
        <f>245169.39+174871.46+297451.69+52975.15+284360.64</f>
        <v>1054828.33</v>
      </c>
      <c r="R792" s="152"/>
      <c r="S792" s="152">
        <f t="shared" si="171"/>
        <v>1054828.33</v>
      </c>
      <c r="T792" s="152"/>
      <c r="U792" s="152"/>
      <c r="V792" s="152"/>
      <c r="W792" s="152">
        <f t="shared" si="170"/>
        <v>100323.91999999993</v>
      </c>
      <c r="X792" s="666"/>
      <c r="Y792" s="666"/>
      <c r="Z792" s="666"/>
      <c r="AA792" s="666"/>
      <c r="AB792" s="666"/>
      <c r="AC792" s="666"/>
      <c r="AD792" s="666"/>
      <c r="AE792" s="666"/>
    </row>
    <row r="793" spans="2:31" ht="30">
      <c r="B793" s="193">
        <v>24</v>
      </c>
      <c r="C793" s="376" t="s">
        <v>646</v>
      </c>
      <c r="D793" s="188" t="s">
        <v>489</v>
      </c>
      <c r="E793" s="2"/>
      <c r="F793" s="579"/>
      <c r="G793" s="20"/>
      <c r="H793" s="143"/>
      <c r="I793" s="143"/>
      <c r="J793" s="143"/>
      <c r="K793" s="198">
        <v>204800.6</v>
      </c>
      <c r="L793" s="143"/>
      <c r="M793" s="143">
        <f t="shared" si="169"/>
        <v>204800.6</v>
      </c>
      <c r="N793" s="141"/>
      <c r="O793" s="141"/>
      <c r="P793" s="141"/>
      <c r="Q793" s="152">
        <f>25783.78+45568.12+27391.73</f>
        <v>98743.62999999999</v>
      </c>
      <c r="R793" s="152"/>
      <c r="S793" s="152">
        <f t="shared" si="171"/>
        <v>98743.62999999999</v>
      </c>
      <c r="T793" s="152"/>
      <c r="U793" s="152"/>
      <c r="V793" s="152"/>
      <c r="W793" s="152">
        <f t="shared" si="170"/>
        <v>106056.97000000002</v>
      </c>
      <c r="X793" s="666"/>
      <c r="Y793" s="666"/>
      <c r="Z793" s="666"/>
      <c r="AA793" s="666"/>
      <c r="AB793" s="666"/>
      <c r="AC793" s="666"/>
      <c r="AD793" s="666"/>
      <c r="AE793" s="666"/>
    </row>
    <row r="794" spans="2:31" ht="31.5">
      <c r="B794" s="193">
        <v>25</v>
      </c>
      <c r="C794" s="376" t="s">
        <v>647</v>
      </c>
      <c r="D794" s="188" t="s">
        <v>490</v>
      </c>
      <c r="E794" s="2"/>
      <c r="F794" s="579"/>
      <c r="G794" s="20"/>
      <c r="H794" s="143"/>
      <c r="I794" s="143"/>
      <c r="J794" s="143"/>
      <c r="K794" s="198">
        <v>1514883.56</v>
      </c>
      <c r="L794" s="143"/>
      <c r="M794" s="143">
        <f t="shared" si="169"/>
        <v>1514883.56</v>
      </c>
      <c r="N794" s="141"/>
      <c r="O794" s="141"/>
      <c r="P794" s="141"/>
      <c r="Q794" s="152">
        <f>493534.17+182504.16+469616.07+860859.81</f>
        <v>2006514.21</v>
      </c>
      <c r="R794" s="152"/>
      <c r="S794" s="152">
        <f t="shared" si="171"/>
        <v>2006514.21</v>
      </c>
      <c r="T794" s="152"/>
      <c r="U794" s="152"/>
      <c r="V794" s="152"/>
      <c r="W794" s="152">
        <f t="shared" si="170"/>
        <v>-491630.64999999991</v>
      </c>
      <c r="X794" s="666"/>
      <c r="Y794" s="666"/>
      <c r="Z794" s="666"/>
      <c r="AA794" s="666"/>
      <c r="AB794" s="666"/>
      <c r="AC794" s="666"/>
      <c r="AD794" s="666"/>
      <c r="AE794" s="666"/>
    </row>
    <row r="795" spans="2:31" ht="31.5">
      <c r="B795" s="193">
        <v>26</v>
      </c>
      <c r="C795" s="376" t="s">
        <v>648</v>
      </c>
      <c r="D795" s="188" t="s">
        <v>491</v>
      </c>
      <c r="E795" s="2"/>
      <c r="F795" s="579"/>
      <c r="G795" s="20"/>
      <c r="H795" s="143"/>
      <c r="I795" s="143"/>
      <c r="J795" s="143"/>
      <c r="K795" s="198">
        <v>575926.91</v>
      </c>
      <c r="L795" s="143"/>
      <c r="M795" s="143">
        <f t="shared" si="169"/>
        <v>575926.91</v>
      </c>
      <c r="N795" s="141"/>
      <c r="O795" s="141"/>
      <c r="P795" s="141"/>
      <c r="Q795" s="152">
        <f>263255.59+206168.67+248022.74</f>
        <v>717447</v>
      </c>
      <c r="R795" s="152"/>
      <c r="S795" s="152">
        <f t="shared" si="171"/>
        <v>717447</v>
      </c>
      <c r="T795" s="152"/>
      <c r="U795" s="152"/>
      <c r="V795" s="152"/>
      <c r="W795" s="152">
        <f t="shared" si="170"/>
        <v>-141520.08999999997</v>
      </c>
      <c r="X795" s="666"/>
      <c r="Y795" s="666"/>
      <c r="Z795" s="666"/>
      <c r="AA795" s="666"/>
      <c r="AB795" s="666"/>
      <c r="AC795" s="666"/>
      <c r="AD795" s="666"/>
      <c r="AE795" s="666"/>
    </row>
    <row r="796" spans="2:31" ht="31.5">
      <c r="B796" s="193">
        <v>27</v>
      </c>
      <c r="C796" s="376" t="s">
        <v>649</v>
      </c>
      <c r="D796" s="188" t="s">
        <v>492</v>
      </c>
      <c r="E796" s="2"/>
      <c r="F796" s="579"/>
      <c r="G796" s="20"/>
      <c r="H796" s="143"/>
      <c r="I796" s="143"/>
      <c r="J796" s="143"/>
      <c r="K796" s="198">
        <v>575994.5</v>
      </c>
      <c r="L796" s="143"/>
      <c r="M796" s="143">
        <f t="shared" si="169"/>
        <v>575994.5</v>
      </c>
      <c r="N796" s="141"/>
      <c r="O796" s="141"/>
      <c r="P796" s="141"/>
      <c r="Q796" s="152">
        <f>302817.97+178848.69+237446.15</f>
        <v>719112.80999999994</v>
      </c>
      <c r="R796" s="152"/>
      <c r="S796" s="152">
        <f t="shared" si="171"/>
        <v>719112.80999999994</v>
      </c>
      <c r="T796" s="152"/>
      <c r="U796" s="152"/>
      <c r="V796" s="152"/>
      <c r="W796" s="152">
        <f t="shared" si="170"/>
        <v>-143118.30999999994</v>
      </c>
      <c r="X796" s="666"/>
      <c r="Y796" s="666"/>
      <c r="Z796" s="666"/>
      <c r="AA796" s="666"/>
      <c r="AB796" s="666"/>
      <c r="AC796" s="666"/>
      <c r="AD796" s="666"/>
      <c r="AE796" s="666"/>
    </row>
    <row r="797" spans="2:31" ht="31.5">
      <c r="B797" s="193">
        <v>28</v>
      </c>
      <c r="C797" s="376" t="s">
        <v>650</v>
      </c>
      <c r="D797" s="188" t="s">
        <v>493</v>
      </c>
      <c r="E797" s="2"/>
      <c r="F797" s="579"/>
      <c r="G797" s="20"/>
      <c r="H797" s="143"/>
      <c r="I797" s="143"/>
      <c r="J797" s="143"/>
      <c r="K797" s="198">
        <v>519603.87</v>
      </c>
      <c r="L797" s="143"/>
      <c r="M797" s="143">
        <f t="shared" si="169"/>
        <v>519603.87</v>
      </c>
      <c r="N797" s="141"/>
      <c r="O797" s="141"/>
      <c r="P797" s="141"/>
      <c r="Q797" s="152">
        <f>301768.96+114762.76+286394.67+277837.41+539995.27</f>
        <v>1520759.07</v>
      </c>
      <c r="R797" s="152"/>
      <c r="S797" s="152">
        <f t="shared" si="171"/>
        <v>1520759.07</v>
      </c>
      <c r="T797" s="152"/>
      <c r="U797" s="152"/>
      <c r="V797" s="152"/>
      <c r="W797" s="152">
        <f t="shared" si="170"/>
        <v>-1001155.2000000001</v>
      </c>
      <c r="X797" s="666"/>
      <c r="Y797" s="666"/>
      <c r="Z797" s="666"/>
      <c r="AA797" s="666"/>
      <c r="AB797" s="666"/>
      <c r="AC797" s="666"/>
      <c r="AD797" s="666"/>
      <c r="AE797" s="666"/>
    </row>
    <row r="798" spans="2:31" ht="31.5">
      <c r="B798" s="193">
        <v>29</v>
      </c>
      <c r="C798" s="376" t="s">
        <v>651</v>
      </c>
      <c r="D798" s="188" t="s">
        <v>494</v>
      </c>
      <c r="E798" s="2"/>
      <c r="F798" s="579"/>
      <c r="G798" s="20"/>
      <c r="H798" s="143"/>
      <c r="I798" s="143"/>
      <c r="J798" s="143"/>
      <c r="K798" s="198">
        <v>638973.34</v>
      </c>
      <c r="L798" s="143"/>
      <c r="M798" s="143">
        <f t="shared" si="169"/>
        <v>638973.34</v>
      </c>
      <c r="N798" s="141"/>
      <c r="O798" s="141"/>
      <c r="P798" s="141"/>
      <c r="Q798" s="152">
        <f>136809.21+77981.52+291349.83+243450.81+47827.3+245799.67</f>
        <v>1043218.3400000001</v>
      </c>
      <c r="R798" s="152"/>
      <c r="S798" s="152">
        <f t="shared" si="171"/>
        <v>1043218.3400000001</v>
      </c>
      <c r="T798" s="152"/>
      <c r="U798" s="152"/>
      <c r="V798" s="152"/>
      <c r="W798" s="152">
        <f t="shared" si="170"/>
        <v>-404245.00000000012</v>
      </c>
      <c r="X798" s="666"/>
      <c r="Y798" s="666"/>
      <c r="Z798" s="666"/>
      <c r="AA798" s="666"/>
      <c r="AB798" s="666"/>
      <c r="AC798" s="666"/>
      <c r="AD798" s="666"/>
      <c r="AE798" s="666"/>
    </row>
    <row r="799" spans="2:31" ht="30">
      <c r="B799" s="193">
        <v>30</v>
      </c>
      <c r="C799" s="376" t="s">
        <v>652</v>
      </c>
      <c r="D799" s="188" t="s">
        <v>495</v>
      </c>
      <c r="E799" s="2"/>
      <c r="F799" s="579"/>
      <c r="G799" s="20"/>
      <c r="H799" s="143"/>
      <c r="I799" s="143"/>
      <c r="J799" s="143"/>
      <c r="K799" s="198">
        <v>182629.16</v>
      </c>
      <c r="L799" s="143"/>
      <c r="M799" s="143">
        <f t="shared" si="169"/>
        <v>182629.16</v>
      </c>
      <c r="N799" s="141"/>
      <c r="O799" s="141"/>
      <c r="P799" s="141"/>
      <c r="Q799" s="152">
        <f>52155.27+23185.87+68790.4+77671.45+45382.27+156540.72</f>
        <v>423725.98</v>
      </c>
      <c r="R799" s="152"/>
      <c r="S799" s="152">
        <f t="shared" si="171"/>
        <v>423725.98</v>
      </c>
      <c r="T799" s="152"/>
      <c r="U799" s="152"/>
      <c r="V799" s="152"/>
      <c r="W799" s="152">
        <f t="shared" si="170"/>
        <v>-241096.81999999998</v>
      </c>
      <c r="X799" s="666"/>
      <c r="Y799" s="666"/>
      <c r="Z799" s="666"/>
      <c r="AA799" s="666"/>
      <c r="AB799" s="666"/>
      <c r="AC799" s="666"/>
      <c r="AD799" s="666"/>
      <c r="AE799" s="666"/>
    </row>
    <row r="800" spans="2:31" ht="31.5">
      <c r="B800" s="193">
        <v>31</v>
      </c>
      <c r="C800" s="376" t="s">
        <v>653</v>
      </c>
      <c r="D800" s="188" t="s">
        <v>496</v>
      </c>
      <c r="E800" s="2"/>
      <c r="F800" s="579"/>
      <c r="G800" s="20"/>
      <c r="H800" s="143"/>
      <c r="I800" s="143"/>
      <c r="J800" s="143"/>
      <c r="K800" s="198">
        <v>366315.5</v>
      </c>
      <c r="L800" s="143"/>
      <c r="M800" s="143">
        <f t="shared" si="169"/>
        <v>366315.5</v>
      </c>
      <c r="N800" s="141"/>
      <c r="O800" s="141"/>
      <c r="P800" s="141"/>
      <c r="Q800" s="152">
        <f>95659.67+236149.04+105297.37+97675.51</f>
        <v>534781.59</v>
      </c>
      <c r="R800" s="152"/>
      <c r="S800" s="152">
        <f t="shared" si="171"/>
        <v>534781.59</v>
      </c>
      <c r="T800" s="152"/>
      <c r="U800" s="152"/>
      <c r="V800" s="152"/>
      <c r="W800" s="152">
        <f t="shared" si="170"/>
        <v>-168466.08999999997</v>
      </c>
      <c r="X800" s="666"/>
      <c r="Y800" s="666"/>
      <c r="Z800" s="666"/>
      <c r="AA800" s="666"/>
      <c r="AB800" s="666"/>
      <c r="AC800" s="666"/>
      <c r="AD800" s="666"/>
      <c r="AE800" s="666"/>
    </row>
    <row r="801" spans="2:31" ht="31.5">
      <c r="B801" s="193">
        <v>32</v>
      </c>
      <c r="C801" s="376" t="s">
        <v>654</v>
      </c>
      <c r="D801" s="188" t="s">
        <v>497</v>
      </c>
      <c r="E801" s="2"/>
      <c r="F801" s="579"/>
      <c r="G801" s="20"/>
      <c r="H801" s="143"/>
      <c r="I801" s="143"/>
      <c r="J801" s="143"/>
      <c r="K801" s="198">
        <v>713886.69</v>
      </c>
      <c r="L801" s="143"/>
      <c r="M801" s="143">
        <f t="shared" si="169"/>
        <v>713886.69</v>
      </c>
      <c r="N801" s="141"/>
      <c r="O801" s="141"/>
      <c r="P801" s="141"/>
      <c r="Q801" s="152">
        <f>373712.27+360140.46+352384.95+401432.79+630000.65</f>
        <v>2117671.12</v>
      </c>
      <c r="R801" s="152"/>
      <c r="S801" s="152">
        <f t="shared" si="171"/>
        <v>2117671.12</v>
      </c>
      <c r="T801" s="152"/>
      <c r="U801" s="152"/>
      <c r="V801" s="152"/>
      <c r="W801" s="152">
        <f t="shared" si="170"/>
        <v>-1403784.4300000002</v>
      </c>
      <c r="X801" s="666"/>
      <c r="Y801" s="666"/>
      <c r="Z801" s="666"/>
      <c r="AA801" s="666"/>
      <c r="AB801" s="666"/>
      <c r="AC801" s="666"/>
      <c r="AD801" s="666"/>
      <c r="AE801" s="666"/>
    </row>
    <row r="802" spans="2:31" ht="30">
      <c r="B802" s="193">
        <v>33</v>
      </c>
      <c r="C802" s="376" t="s">
        <v>655</v>
      </c>
      <c r="D802" s="188" t="s">
        <v>498</v>
      </c>
      <c r="E802" s="2"/>
      <c r="F802" s="579"/>
      <c r="G802" s="20"/>
      <c r="H802" s="143"/>
      <c r="I802" s="143"/>
      <c r="J802" s="143"/>
      <c r="K802" s="198">
        <v>117706.1</v>
      </c>
      <c r="L802" s="143"/>
      <c r="M802" s="143">
        <f t="shared" si="169"/>
        <v>117706.1</v>
      </c>
      <c r="N802" s="141"/>
      <c r="O802" s="141"/>
      <c r="P802" s="141"/>
      <c r="Q802" s="152"/>
      <c r="R802" s="152"/>
      <c r="S802" s="152">
        <f t="shared" si="171"/>
        <v>0</v>
      </c>
      <c r="T802" s="152"/>
      <c r="U802" s="152"/>
      <c r="V802" s="152"/>
      <c r="W802" s="152">
        <f t="shared" si="170"/>
        <v>117706.1</v>
      </c>
      <c r="X802" s="666"/>
      <c r="Y802" s="666"/>
      <c r="Z802" s="666"/>
      <c r="AA802" s="666"/>
      <c r="AB802" s="666"/>
      <c r="AC802" s="666"/>
      <c r="AD802" s="666"/>
      <c r="AE802" s="666"/>
    </row>
    <row r="803" spans="2:31" ht="31.5">
      <c r="B803" s="193">
        <v>34</v>
      </c>
      <c r="C803" s="376" t="s">
        <v>656</v>
      </c>
      <c r="D803" s="188" t="s">
        <v>499</v>
      </c>
      <c r="E803" s="2"/>
      <c r="F803" s="579"/>
      <c r="G803" s="20"/>
      <c r="H803" s="143"/>
      <c r="I803" s="143"/>
      <c r="J803" s="143"/>
      <c r="K803" s="198">
        <v>17029.330000000002</v>
      </c>
      <c r="L803" s="143"/>
      <c r="M803" s="143">
        <f t="shared" si="169"/>
        <v>17029.330000000002</v>
      </c>
      <c r="N803" s="141"/>
      <c r="O803" s="141"/>
      <c r="P803" s="141"/>
      <c r="Q803" s="152"/>
      <c r="R803" s="152"/>
      <c r="S803" s="152">
        <f t="shared" si="171"/>
        <v>0</v>
      </c>
      <c r="T803" s="152"/>
      <c r="U803" s="152"/>
      <c r="V803" s="152"/>
      <c r="W803" s="152">
        <f t="shared" si="170"/>
        <v>17029.330000000002</v>
      </c>
      <c r="X803" s="666"/>
      <c r="Y803" s="666"/>
      <c r="Z803" s="666"/>
      <c r="AA803" s="666"/>
      <c r="AB803" s="666"/>
      <c r="AC803" s="666"/>
      <c r="AD803" s="666"/>
      <c r="AE803" s="666"/>
    </row>
    <row r="804" spans="2:31" ht="31.5">
      <c r="B804" s="193">
        <v>35</v>
      </c>
      <c r="C804" s="376" t="s">
        <v>657</v>
      </c>
      <c r="D804" s="188" t="s">
        <v>500</v>
      </c>
      <c r="E804" s="2"/>
      <c r="F804" s="579"/>
      <c r="G804" s="20"/>
      <c r="H804" s="143"/>
      <c r="I804" s="143"/>
      <c r="J804" s="143"/>
      <c r="K804" s="198">
        <v>279493.91000000003</v>
      </c>
      <c r="L804" s="143"/>
      <c r="M804" s="143">
        <f t="shared" si="169"/>
        <v>279493.91000000003</v>
      </c>
      <c r="N804" s="141"/>
      <c r="O804" s="141"/>
      <c r="P804" s="141"/>
      <c r="Q804" s="152">
        <f>99702.44+61851.94+31103.69+67003.84+226189.38+6049.06</f>
        <v>491900.35000000003</v>
      </c>
      <c r="R804" s="152"/>
      <c r="S804" s="152">
        <f t="shared" si="171"/>
        <v>491900.35000000003</v>
      </c>
      <c r="T804" s="152"/>
      <c r="U804" s="152"/>
      <c r="V804" s="152"/>
      <c r="W804" s="205">
        <f t="shared" si="170"/>
        <v>-212406.44</v>
      </c>
      <c r="X804" s="666"/>
      <c r="Y804" s="666"/>
      <c r="Z804" s="666"/>
      <c r="AA804" s="666"/>
      <c r="AB804" s="666"/>
      <c r="AC804" s="666"/>
      <c r="AD804" s="666"/>
      <c r="AE804" s="666"/>
    </row>
    <row r="805" spans="2:31" ht="31.5">
      <c r="B805" s="193">
        <v>36</v>
      </c>
      <c r="C805" s="376" t="s">
        <v>658</v>
      </c>
      <c r="D805" s="188" t="s">
        <v>501</v>
      </c>
      <c r="E805" s="2"/>
      <c r="F805" s="579"/>
      <c r="G805" s="20"/>
      <c r="H805" s="143"/>
      <c r="I805" s="143"/>
      <c r="J805" s="143"/>
      <c r="K805" s="198">
        <v>1023516.35</v>
      </c>
      <c r="L805" s="143"/>
      <c r="M805" s="143">
        <f t="shared" si="169"/>
        <v>1023516.35</v>
      </c>
      <c r="N805" s="141"/>
      <c r="O805" s="141"/>
      <c r="P805" s="141"/>
      <c r="Q805" s="152">
        <f>185850.61+169403.8</f>
        <v>355254.41</v>
      </c>
      <c r="R805" s="152"/>
      <c r="S805" s="152">
        <f t="shared" si="171"/>
        <v>355254.41</v>
      </c>
      <c r="T805" s="152"/>
      <c r="U805" s="152"/>
      <c r="V805" s="152"/>
      <c r="W805" s="152">
        <f t="shared" si="170"/>
        <v>668261.93999999994</v>
      </c>
      <c r="X805" s="666"/>
      <c r="Y805" s="666"/>
      <c r="Z805" s="666"/>
      <c r="AA805" s="666"/>
      <c r="AB805" s="666"/>
      <c r="AC805" s="666"/>
      <c r="AD805" s="666"/>
      <c r="AE805" s="666"/>
    </row>
    <row r="806" spans="2:31" ht="47.25">
      <c r="B806" s="193">
        <v>37</v>
      </c>
      <c r="C806" s="376" t="s">
        <v>659</v>
      </c>
      <c r="D806" s="188" t="s">
        <v>502</v>
      </c>
      <c r="E806" s="2"/>
      <c r="F806" s="579"/>
      <c r="G806" s="20"/>
      <c r="H806" s="143"/>
      <c r="I806" s="143"/>
      <c r="J806" s="143"/>
      <c r="K806" s="198">
        <v>1249722.81</v>
      </c>
      <c r="L806" s="143"/>
      <c r="M806" s="143">
        <f t="shared" si="169"/>
        <v>1249722.81</v>
      </c>
      <c r="N806" s="141"/>
      <c r="O806" s="141"/>
      <c r="P806" s="141"/>
      <c r="Q806" s="152">
        <f>918032.04+337436.83+792265.63+1176890.64+219359.2</f>
        <v>3443984.34</v>
      </c>
      <c r="R806" s="152"/>
      <c r="S806" s="152">
        <f t="shared" si="171"/>
        <v>3443984.34</v>
      </c>
      <c r="T806" s="152"/>
      <c r="U806" s="152"/>
      <c r="V806" s="152"/>
      <c r="W806" s="152">
        <f t="shared" si="170"/>
        <v>-2194261.5299999998</v>
      </c>
      <c r="X806" s="666"/>
      <c r="Y806" s="666"/>
      <c r="Z806" s="666"/>
      <c r="AA806" s="666"/>
      <c r="AB806" s="666"/>
      <c r="AC806" s="666"/>
      <c r="AD806" s="666"/>
      <c r="AE806" s="666"/>
    </row>
    <row r="807" spans="2:31" ht="63">
      <c r="B807" s="193">
        <v>38</v>
      </c>
      <c r="C807" s="376" t="s">
        <v>660</v>
      </c>
      <c r="D807" s="188" t="s">
        <v>503</v>
      </c>
      <c r="E807" s="2"/>
      <c r="F807" s="579"/>
      <c r="G807" s="20"/>
      <c r="H807" s="143"/>
      <c r="I807" s="143"/>
      <c r="J807" s="143"/>
      <c r="K807" s="198">
        <v>989158.95</v>
      </c>
      <c r="L807" s="143"/>
      <c r="M807" s="143">
        <f t="shared" si="169"/>
        <v>989158.95</v>
      </c>
      <c r="N807" s="141"/>
      <c r="O807" s="141"/>
      <c r="P807" s="141"/>
      <c r="Q807" s="152">
        <f>131042.5+143667.46+182987.69+123451.7+469833.3</f>
        <v>1050982.6499999999</v>
      </c>
      <c r="R807" s="152"/>
      <c r="S807" s="152">
        <f t="shared" si="171"/>
        <v>1050982.6499999999</v>
      </c>
      <c r="T807" s="152"/>
      <c r="U807" s="152"/>
      <c r="V807" s="152"/>
      <c r="W807" s="152">
        <f t="shared" si="170"/>
        <v>-61823.699999999953</v>
      </c>
      <c r="X807" s="666"/>
      <c r="Y807" s="666"/>
      <c r="Z807" s="666"/>
      <c r="AA807" s="666"/>
      <c r="AB807" s="666"/>
      <c r="AC807" s="666"/>
      <c r="AD807" s="666"/>
      <c r="AE807" s="666"/>
    </row>
    <row r="808" spans="2:31" ht="31.5">
      <c r="B808" s="193">
        <v>39</v>
      </c>
      <c r="C808" s="376" t="s">
        <v>661</v>
      </c>
      <c r="D808" s="188" t="s">
        <v>504</v>
      </c>
      <c r="E808" s="2"/>
      <c r="F808" s="579"/>
      <c r="G808" s="20"/>
      <c r="H808" s="143"/>
      <c r="I808" s="143"/>
      <c r="J808" s="143"/>
      <c r="K808" s="198">
        <v>473498.85</v>
      </c>
      <c r="L808" s="143"/>
      <c r="M808" s="143">
        <f t="shared" si="169"/>
        <v>473498.85</v>
      </c>
      <c r="N808" s="141"/>
      <c r="O808" s="141"/>
      <c r="P808" s="141"/>
      <c r="Q808" s="152">
        <f>49762.33+15101.36+146474.27+68246.36+260266.35+298143.75</f>
        <v>837994.42</v>
      </c>
      <c r="R808" s="152"/>
      <c r="S808" s="152">
        <f t="shared" si="171"/>
        <v>837994.42</v>
      </c>
      <c r="T808" s="152"/>
      <c r="U808" s="152"/>
      <c r="V808" s="152"/>
      <c r="W808" s="152">
        <f t="shared" si="170"/>
        <v>-364495.57000000007</v>
      </c>
      <c r="X808" s="666"/>
      <c r="Y808" s="666"/>
      <c r="Z808" s="666"/>
      <c r="AA808" s="666"/>
      <c r="AB808" s="666"/>
      <c r="AC808" s="666"/>
      <c r="AD808" s="666"/>
      <c r="AE808" s="666"/>
    </row>
    <row r="809" spans="2:31" ht="31.5">
      <c r="B809" s="193">
        <v>40</v>
      </c>
      <c r="C809" s="376" t="s">
        <v>662</v>
      </c>
      <c r="D809" s="188" t="s">
        <v>505</v>
      </c>
      <c r="E809" s="2"/>
      <c r="F809" s="579"/>
      <c r="G809" s="20"/>
      <c r="H809" s="143"/>
      <c r="I809" s="143"/>
      <c r="J809" s="143"/>
      <c r="K809" s="198">
        <v>352958.7</v>
      </c>
      <c r="L809" s="143"/>
      <c r="M809" s="143">
        <f t="shared" si="169"/>
        <v>352958.7</v>
      </c>
      <c r="N809" s="141"/>
      <c r="O809" s="141"/>
      <c r="P809" s="141"/>
      <c r="Q809" s="152">
        <f>6301.3+365208.19+156361.84+361095.08</f>
        <v>888966.40999999992</v>
      </c>
      <c r="R809" s="152"/>
      <c r="S809" s="152">
        <f t="shared" si="171"/>
        <v>888966.40999999992</v>
      </c>
      <c r="T809" s="152"/>
      <c r="U809" s="152"/>
      <c r="V809" s="152"/>
      <c r="W809" s="152">
        <f t="shared" si="170"/>
        <v>-536007.71</v>
      </c>
      <c r="X809" s="666"/>
      <c r="Y809" s="666"/>
      <c r="Z809" s="666"/>
      <c r="AA809" s="666"/>
      <c r="AB809" s="666"/>
      <c r="AC809" s="666"/>
      <c r="AD809" s="666"/>
      <c r="AE809" s="666"/>
    </row>
    <row r="810" spans="2:31" ht="30">
      <c r="B810" s="193">
        <v>41</v>
      </c>
      <c r="C810" s="376" t="s">
        <v>663</v>
      </c>
      <c r="D810" s="188" t="s">
        <v>506</v>
      </c>
      <c r="E810" s="2"/>
      <c r="F810" s="579"/>
      <c r="G810" s="20"/>
      <c r="H810" s="143"/>
      <c r="I810" s="143"/>
      <c r="J810" s="143"/>
      <c r="K810" s="198">
        <v>203092.02000000002</v>
      </c>
      <c r="L810" s="143"/>
      <c r="M810" s="143">
        <f t="shared" si="169"/>
        <v>203092.02000000002</v>
      </c>
      <c r="N810" s="141"/>
      <c r="O810" s="141"/>
      <c r="P810" s="141"/>
      <c r="Q810" s="152">
        <f>62521.6+54338.56+32438.2+29525.31+101516.02</f>
        <v>280339.69</v>
      </c>
      <c r="R810" s="152"/>
      <c r="S810" s="152">
        <f t="shared" si="171"/>
        <v>280339.69</v>
      </c>
      <c r="T810" s="152"/>
      <c r="U810" s="152"/>
      <c r="V810" s="152"/>
      <c r="W810" s="152">
        <f t="shared" si="170"/>
        <v>-77247.669999999984</v>
      </c>
      <c r="X810" s="666"/>
      <c r="Y810" s="666"/>
      <c r="Z810" s="666"/>
      <c r="AA810" s="666"/>
      <c r="AB810" s="666"/>
      <c r="AC810" s="666"/>
      <c r="AD810" s="666"/>
      <c r="AE810" s="666"/>
    </row>
    <row r="811" spans="2:31" ht="30">
      <c r="B811" s="193">
        <v>42</v>
      </c>
      <c r="C811" s="376" t="s">
        <v>664</v>
      </c>
      <c r="D811" s="188" t="s">
        <v>507</v>
      </c>
      <c r="E811" s="2"/>
      <c r="F811" s="579"/>
      <c r="G811" s="20"/>
      <c r="H811" s="143"/>
      <c r="I811" s="143"/>
      <c r="J811" s="143"/>
      <c r="K811" s="198">
        <v>225000</v>
      </c>
      <c r="L811" s="143"/>
      <c r="M811" s="143">
        <f t="shared" si="169"/>
        <v>225000</v>
      </c>
      <c r="N811" s="141"/>
      <c r="O811" s="141"/>
      <c r="P811" s="141"/>
      <c r="Q811" s="152">
        <f>295052.81+11051.87+36691.23+55719.59+21484.5</f>
        <v>420000</v>
      </c>
      <c r="R811" s="152"/>
      <c r="S811" s="152">
        <f t="shared" si="171"/>
        <v>420000</v>
      </c>
      <c r="T811" s="152"/>
      <c r="U811" s="152"/>
      <c r="V811" s="152"/>
      <c r="W811" s="205">
        <f t="shared" si="170"/>
        <v>-195000</v>
      </c>
      <c r="X811" s="666"/>
      <c r="Y811" s="666"/>
      <c r="Z811" s="666"/>
      <c r="AA811" s="666"/>
      <c r="AB811" s="666"/>
      <c r="AC811" s="666"/>
      <c r="AD811" s="666"/>
      <c r="AE811" s="666"/>
    </row>
    <row r="812" spans="2:31" ht="30">
      <c r="B812" s="193">
        <v>43</v>
      </c>
      <c r="C812" s="376" t="s">
        <v>665</v>
      </c>
      <c r="D812" s="188" t="s">
        <v>508</v>
      </c>
      <c r="E812" s="2"/>
      <c r="F812" s="579"/>
      <c r="G812" s="20"/>
      <c r="H812" s="143"/>
      <c r="I812" s="143"/>
      <c r="J812" s="143"/>
      <c r="K812" s="198">
        <v>526979.26</v>
      </c>
      <c r="L812" s="143"/>
      <c r="M812" s="143">
        <f t="shared" si="169"/>
        <v>526979.26</v>
      </c>
      <c r="N812" s="141"/>
      <c r="O812" s="141"/>
      <c r="P812" s="141"/>
      <c r="Q812" s="152">
        <f>128798.26+120330.84+37456.6+60284.14+72999.98+59661.69</f>
        <v>479531.50999999995</v>
      </c>
      <c r="R812" s="152"/>
      <c r="S812" s="152">
        <f t="shared" si="171"/>
        <v>479531.50999999995</v>
      </c>
      <c r="T812" s="152"/>
      <c r="U812" s="152"/>
      <c r="V812" s="152"/>
      <c r="W812" s="152">
        <f t="shared" si="170"/>
        <v>47447.750000000058</v>
      </c>
      <c r="X812" s="666"/>
      <c r="Y812" s="666"/>
      <c r="Z812" s="666"/>
      <c r="AA812" s="666"/>
      <c r="AB812" s="666"/>
      <c r="AC812" s="666"/>
      <c r="AD812" s="666"/>
      <c r="AE812" s="666"/>
    </row>
    <row r="813" spans="2:31" ht="30">
      <c r="B813" s="193">
        <v>44</v>
      </c>
      <c r="C813" s="376" t="s">
        <v>666</v>
      </c>
      <c r="D813" s="188" t="s">
        <v>509</v>
      </c>
      <c r="E813" s="2"/>
      <c r="F813" s="579"/>
      <c r="G813" s="20"/>
      <c r="H813" s="143"/>
      <c r="I813" s="143"/>
      <c r="J813" s="143"/>
      <c r="K813" s="198">
        <v>1424269.72</v>
      </c>
      <c r="L813" s="143"/>
      <c r="M813" s="143">
        <f t="shared" si="169"/>
        <v>1424269.72</v>
      </c>
      <c r="N813" s="141"/>
      <c r="O813" s="141"/>
      <c r="P813" s="141"/>
      <c r="Q813" s="152"/>
      <c r="R813" s="152"/>
      <c r="S813" s="152">
        <f t="shared" si="171"/>
        <v>0</v>
      </c>
      <c r="T813" s="152"/>
      <c r="U813" s="152"/>
      <c r="V813" s="152"/>
      <c r="W813" s="152">
        <f t="shared" si="170"/>
        <v>1424269.72</v>
      </c>
      <c r="X813" s="666"/>
      <c r="Y813" s="666"/>
      <c r="Z813" s="666"/>
      <c r="AA813" s="666"/>
      <c r="AB813" s="666"/>
      <c r="AC813" s="666"/>
      <c r="AD813" s="666"/>
      <c r="AE813" s="666"/>
    </row>
    <row r="814" spans="2:31" ht="15.75">
      <c r="B814" s="193">
        <v>45</v>
      </c>
      <c r="C814" s="376" t="s">
        <v>510</v>
      </c>
      <c r="D814" s="188" t="s">
        <v>511</v>
      </c>
      <c r="E814" s="2"/>
      <c r="F814" s="579"/>
      <c r="G814" s="20"/>
      <c r="H814" s="143"/>
      <c r="I814" s="143"/>
      <c r="J814" s="143"/>
      <c r="K814" s="198">
        <v>329782.78999999998</v>
      </c>
      <c r="L814" s="143"/>
      <c r="M814" s="143">
        <f t="shared" si="169"/>
        <v>329782.78999999998</v>
      </c>
      <c r="N814" s="141"/>
      <c r="O814" s="141"/>
      <c r="P814" s="141"/>
      <c r="Q814" s="152"/>
      <c r="R814" s="152"/>
      <c r="S814" s="152">
        <f t="shared" si="171"/>
        <v>0</v>
      </c>
      <c r="T814" s="152"/>
      <c r="U814" s="152"/>
      <c r="V814" s="152"/>
      <c r="W814" s="152">
        <f t="shared" si="170"/>
        <v>329782.78999999998</v>
      </c>
      <c r="X814" s="666"/>
      <c r="Y814" s="666"/>
      <c r="Z814" s="666"/>
      <c r="AA814" s="666"/>
      <c r="AB814" s="666"/>
      <c r="AC814" s="666"/>
      <c r="AD814" s="666"/>
      <c r="AE814" s="666"/>
    </row>
    <row r="815" spans="2:31" ht="16.5" thickBot="1">
      <c r="B815" s="217"/>
      <c r="C815" s="218"/>
      <c r="D815" s="218" t="s">
        <v>512</v>
      </c>
      <c r="E815" s="194" t="s">
        <v>29</v>
      </c>
      <c r="F815" s="580"/>
      <c r="G815" s="775"/>
      <c r="H815" s="147">
        <f>SUM(H751:H814)</f>
        <v>0</v>
      </c>
      <c r="I815" s="147">
        <f t="shared" ref="I815:J815" si="172">SUM(I751:I814)</f>
        <v>0</v>
      </c>
      <c r="J815" s="147">
        <f t="shared" si="172"/>
        <v>0</v>
      </c>
      <c r="K815" s="195">
        <f>K751+K753+K757+K759+K763+K769</f>
        <v>31412246.298</v>
      </c>
      <c r="L815" s="147">
        <f>SUM(L751:L814)</f>
        <v>0</v>
      </c>
      <c r="M815" s="147">
        <f t="shared" ref="M815:AE815" si="173">SUM(M751:M814)</f>
        <v>31412246.298000004</v>
      </c>
      <c r="N815" s="147">
        <f t="shared" si="173"/>
        <v>0</v>
      </c>
      <c r="O815" s="147">
        <f t="shared" si="173"/>
        <v>0</v>
      </c>
      <c r="P815" s="147">
        <f t="shared" si="173"/>
        <v>0</v>
      </c>
      <c r="Q815" s="147">
        <f t="shared" si="173"/>
        <v>41393193.50999999</v>
      </c>
      <c r="R815" s="147">
        <f t="shared" si="173"/>
        <v>0</v>
      </c>
      <c r="S815" s="147">
        <f t="shared" si="173"/>
        <v>41393193.50999999</v>
      </c>
      <c r="T815" s="147">
        <f t="shared" si="173"/>
        <v>0</v>
      </c>
      <c r="U815" s="147">
        <f t="shared" si="173"/>
        <v>0</v>
      </c>
      <c r="V815" s="147">
        <f t="shared" si="173"/>
        <v>0</v>
      </c>
      <c r="W815" s="147">
        <f t="shared" si="173"/>
        <v>-9980947.2120000012</v>
      </c>
      <c r="X815" s="147">
        <f t="shared" si="173"/>
        <v>0</v>
      </c>
      <c r="Y815" s="147">
        <f t="shared" si="173"/>
        <v>0</v>
      </c>
      <c r="Z815" s="147">
        <f t="shared" si="173"/>
        <v>0</v>
      </c>
      <c r="AA815" s="147">
        <f t="shared" si="173"/>
        <v>0</v>
      </c>
      <c r="AB815" s="147">
        <f t="shared" si="173"/>
        <v>0</v>
      </c>
      <c r="AC815" s="147">
        <f t="shared" si="173"/>
        <v>1962802.65</v>
      </c>
      <c r="AD815" s="147">
        <f t="shared" si="173"/>
        <v>0</v>
      </c>
      <c r="AE815" s="147">
        <f t="shared" si="173"/>
        <v>1962802.65</v>
      </c>
    </row>
    <row r="816" spans="2:31" ht="15.75">
      <c r="B816" s="200"/>
      <c r="C816" s="200"/>
      <c r="D816" s="261"/>
      <c r="E816" s="200"/>
      <c r="F816" s="343"/>
      <c r="G816" s="778"/>
    </row>
    <row r="817" spans="2:31" ht="28.5">
      <c r="B817" s="1025" t="s">
        <v>513</v>
      </c>
      <c r="C817" s="1025"/>
      <c r="D817" s="1025"/>
      <c r="E817" s="1025"/>
      <c r="F817" s="695"/>
      <c r="G817" s="787"/>
    </row>
    <row r="818" spans="2:31" ht="15.75">
      <c r="B818" s="200"/>
      <c r="C818" s="200"/>
      <c r="D818" s="261"/>
      <c r="E818" s="200"/>
      <c r="F818" s="343"/>
      <c r="G818" s="778"/>
    </row>
    <row r="819" spans="2:31" ht="15.75">
      <c r="B819" s="219"/>
      <c r="C819" s="199"/>
      <c r="D819" s="186" t="s">
        <v>514</v>
      </c>
      <c r="E819" s="2"/>
      <c r="F819" s="579"/>
      <c r="G819" s="20"/>
      <c r="H819" s="143"/>
      <c r="I819" s="143"/>
      <c r="J819" s="143"/>
      <c r="K819" s="143"/>
      <c r="L819" s="191">
        <f>SUM(L820:L825)</f>
        <v>9818742.1799999997</v>
      </c>
      <c r="M819" s="143"/>
      <c r="N819" s="667"/>
      <c r="O819" s="667"/>
      <c r="P819" s="667"/>
      <c r="Q819" s="666"/>
      <c r="R819" s="666"/>
      <c r="S819" s="666"/>
      <c r="T819" s="666"/>
      <c r="U819" s="666"/>
      <c r="V819" s="666"/>
      <c r="W819" s="666"/>
      <c r="X819" s="666"/>
      <c r="Y819" s="666"/>
      <c r="Z819" s="666"/>
      <c r="AA819" s="666"/>
      <c r="AB819" s="666"/>
      <c r="AC819" s="666"/>
      <c r="AD819" s="666"/>
      <c r="AE819" s="666"/>
    </row>
    <row r="820" spans="2:31" ht="47.25">
      <c r="B820" s="193">
        <v>1</v>
      </c>
      <c r="C820" s="202" t="s">
        <v>667</v>
      </c>
      <c r="D820" s="187" t="s">
        <v>515</v>
      </c>
      <c r="E820" s="2"/>
      <c r="F820" s="579"/>
      <c r="G820" s="20"/>
      <c r="H820" s="143"/>
      <c r="I820" s="143"/>
      <c r="J820" s="143"/>
      <c r="K820" s="143"/>
      <c r="L820" s="192">
        <v>1411526.06</v>
      </c>
      <c r="M820" s="143">
        <f>+H820+I820+J820+K820+L820</f>
        <v>1411526.06</v>
      </c>
      <c r="N820" s="667"/>
      <c r="O820" s="667"/>
      <c r="P820" s="667"/>
      <c r="Q820" s="666"/>
      <c r="R820" s="666">
        <f>323649.3+537888.33+176758.62+19403.64+71607.94</f>
        <v>1129307.8299999998</v>
      </c>
      <c r="S820" s="666"/>
      <c r="T820" s="666"/>
      <c r="U820" s="666"/>
      <c r="V820" s="666"/>
      <c r="W820" s="666"/>
      <c r="X820" s="321">
        <f>+L820-R820</f>
        <v>282218.23000000021</v>
      </c>
      <c r="Y820" s="666"/>
      <c r="Z820" s="666"/>
      <c r="AA820" s="666"/>
      <c r="AB820" s="666"/>
      <c r="AC820" s="666"/>
      <c r="AD820" s="666"/>
      <c r="AE820" s="666"/>
    </row>
    <row r="821" spans="2:31" ht="47.25">
      <c r="B821" s="193">
        <v>2</v>
      </c>
      <c r="C821" s="202" t="s">
        <v>668</v>
      </c>
      <c r="D821" s="187" t="s">
        <v>516</v>
      </c>
      <c r="E821" s="2"/>
      <c r="F821" s="579"/>
      <c r="G821" s="20"/>
      <c r="H821" s="143"/>
      <c r="I821" s="143"/>
      <c r="J821" s="143"/>
      <c r="K821" s="143"/>
      <c r="L821" s="192">
        <v>1705444.54</v>
      </c>
      <c r="M821" s="143">
        <f t="shared" ref="M821:M834" si="174">+H821+I821+J821+K821+L821</f>
        <v>1705444.54</v>
      </c>
      <c r="N821" s="667"/>
      <c r="O821" s="667"/>
      <c r="P821" s="667"/>
      <c r="Q821" s="666"/>
      <c r="R821" s="666">
        <f>950556.84+389514.95+365372.75</f>
        <v>1705444.54</v>
      </c>
      <c r="S821" s="666"/>
      <c r="T821" s="666"/>
      <c r="U821" s="666"/>
      <c r="V821" s="666"/>
      <c r="W821" s="666"/>
      <c r="X821" s="321">
        <f>+L821-R821</f>
        <v>0</v>
      </c>
      <c r="Y821" s="666"/>
      <c r="Z821" s="666"/>
      <c r="AA821" s="666"/>
      <c r="AB821" s="666"/>
      <c r="AC821" s="666"/>
      <c r="AD821" s="666"/>
      <c r="AE821" s="666"/>
    </row>
    <row r="822" spans="2:31" ht="31.5">
      <c r="B822" s="193">
        <v>3</v>
      </c>
      <c r="C822" s="202" t="s">
        <v>669</v>
      </c>
      <c r="D822" s="187" t="s">
        <v>517</v>
      </c>
      <c r="E822" s="2"/>
      <c r="F822" s="579"/>
      <c r="G822" s="20"/>
      <c r="H822" s="143"/>
      <c r="I822" s="143"/>
      <c r="J822" s="143"/>
      <c r="K822" s="143"/>
      <c r="L822" s="192">
        <v>1388315.64</v>
      </c>
      <c r="M822" s="143">
        <f t="shared" si="174"/>
        <v>1388315.64</v>
      </c>
      <c r="N822" s="667"/>
      <c r="O822" s="667"/>
      <c r="P822" s="667"/>
      <c r="Q822" s="666"/>
      <c r="R822" s="666">
        <f>257657.48+87458.86+56091.05+433453.66+179210.69</f>
        <v>1013871.74</v>
      </c>
      <c r="S822" s="666"/>
      <c r="T822" s="666"/>
      <c r="U822" s="666"/>
      <c r="V822" s="666"/>
      <c r="W822" s="666"/>
      <c r="X822" s="321">
        <f t="shared" ref="X822:X824" si="175">+L822-R822</f>
        <v>374443.89999999991</v>
      </c>
      <c r="Y822" s="666"/>
      <c r="Z822" s="666"/>
      <c r="AA822" s="666"/>
      <c r="AB822" s="666"/>
      <c r="AC822" s="666"/>
      <c r="AD822" s="666"/>
      <c r="AE822" s="666"/>
    </row>
    <row r="823" spans="2:31" ht="47.25">
      <c r="B823" s="193">
        <v>4</v>
      </c>
      <c r="C823" s="202" t="s">
        <v>670</v>
      </c>
      <c r="D823" s="187" t="s">
        <v>518</v>
      </c>
      <c r="E823" s="2"/>
      <c r="F823" s="579"/>
      <c r="G823" s="20"/>
      <c r="H823" s="143"/>
      <c r="I823" s="143"/>
      <c r="J823" s="143"/>
      <c r="K823" s="143"/>
      <c r="L823" s="192">
        <v>1166251.75</v>
      </c>
      <c r="M823" s="143">
        <f t="shared" si="174"/>
        <v>1166251.75</v>
      </c>
      <c r="N823" s="667"/>
      <c r="O823" s="667"/>
      <c r="P823" s="667"/>
      <c r="Q823" s="666"/>
      <c r="R823" s="666">
        <f>688342.76+477908.99</f>
        <v>1166251.75</v>
      </c>
      <c r="S823" s="666"/>
      <c r="T823" s="666"/>
      <c r="U823" s="666"/>
      <c r="V823" s="666"/>
      <c r="W823" s="666"/>
      <c r="X823" s="321">
        <f t="shared" si="175"/>
        <v>0</v>
      </c>
      <c r="Y823" s="666"/>
      <c r="Z823" s="666"/>
      <c r="AA823" s="666"/>
      <c r="AB823" s="666"/>
      <c r="AC823" s="666"/>
      <c r="AD823" s="666"/>
      <c r="AE823" s="666"/>
    </row>
    <row r="824" spans="2:31" ht="60">
      <c r="B824" s="193">
        <v>5</v>
      </c>
      <c r="C824" s="202" t="s">
        <v>671</v>
      </c>
      <c r="D824" s="187" t="s">
        <v>519</v>
      </c>
      <c r="E824" s="2"/>
      <c r="F824" s="553" t="s">
        <v>1147</v>
      </c>
      <c r="G824" s="564"/>
      <c r="H824" s="143"/>
      <c r="I824" s="143"/>
      <c r="J824" s="143"/>
      <c r="K824" s="143"/>
      <c r="L824" s="192">
        <v>2703545.32</v>
      </c>
      <c r="M824" s="143">
        <f t="shared" si="174"/>
        <v>2703545.32</v>
      </c>
      <c r="N824" s="667"/>
      <c r="O824" s="667"/>
      <c r="P824" s="667"/>
      <c r="Q824" s="666"/>
      <c r="R824" s="666">
        <f>392041.42+135363.46+422282.13+95752+232515.16+194848.97+261127.37+189618.24+175574.22+297903.52</f>
        <v>2397026.4899999998</v>
      </c>
      <c r="S824" s="666"/>
      <c r="T824" s="666"/>
      <c r="U824" s="666"/>
      <c r="V824" s="666"/>
      <c r="W824" s="666"/>
      <c r="X824" s="328">
        <f t="shared" si="175"/>
        <v>306518.83000000007</v>
      </c>
      <c r="Y824" s="666"/>
      <c r="Z824" s="666"/>
      <c r="AA824" s="666"/>
      <c r="AB824" s="666"/>
      <c r="AC824" s="666"/>
      <c r="AD824" s="420">
        <f>1738208.01+965337.31-101177.06</f>
        <v>2602368.2600000002</v>
      </c>
      <c r="AE824" s="666"/>
    </row>
    <row r="825" spans="2:31" ht="47.25">
      <c r="B825" s="193">
        <v>6</v>
      </c>
      <c r="C825" s="202" t="s">
        <v>672</v>
      </c>
      <c r="D825" s="187" t="s">
        <v>520</v>
      </c>
      <c r="E825" s="2"/>
      <c r="F825" s="579"/>
      <c r="G825" s="20"/>
      <c r="H825" s="143"/>
      <c r="I825" s="143"/>
      <c r="J825" s="143"/>
      <c r="K825" s="143"/>
      <c r="L825" s="192">
        <v>1443658.87</v>
      </c>
      <c r="M825" s="143">
        <f t="shared" si="174"/>
        <v>1443658.87</v>
      </c>
      <c r="N825" s="667"/>
      <c r="O825" s="667"/>
      <c r="P825" s="667"/>
      <c r="Q825" s="666"/>
      <c r="R825" s="666">
        <f>277085.12+85611.19+13478.31+12788.42+461757.5+169611.5</f>
        <v>1020332.04</v>
      </c>
      <c r="S825" s="666"/>
      <c r="T825" s="666"/>
      <c r="U825" s="666"/>
      <c r="V825" s="666"/>
      <c r="W825" s="666"/>
      <c r="X825" s="327">
        <f>+L825-R825</f>
        <v>423326.83000000007</v>
      </c>
      <c r="Y825" s="666"/>
      <c r="Z825" s="666"/>
      <c r="AA825" s="666"/>
      <c r="AB825" s="666"/>
      <c r="AC825" s="666"/>
      <c r="AD825" s="666"/>
      <c r="AE825" s="666"/>
    </row>
    <row r="826" spans="2:31" ht="15.75">
      <c r="B826" s="219"/>
      <c r="C826" s="201"/>
      <c r="D826" s="186" t="s">
        <v>521</v>
      </c>
      <c r="E826" s="2"/>
      <c r="F826" s="579"/>
      <c r="G826" s="20"/>
      <c r="H826" s="143"/>
      <c r="I826" s="143"/>
      <c r="J826" s="143"/>
      <c r="K826" s="143"/>
      <c r="L826" s="191">
        <f>L827</f>
        <v>10388653.869999999</v>
      </c>
      <c r="M826" s="143" t="s">
        <v>29</v>
      </c>
      <c r="N826" s="667"/>
      <c r="O826" s="667"/>
      <c r="P826" s="667"/>
      <c r="Q826" s="666"/>
      <c r="R826" s="666"/>
      <c r="S826" s="666"/>
      <c r="T826" s="666"/>
      <c r="U826" s="666"/>
      <c r="V826" s="666"/>
      <c r="W826" s="666"/>
      <c r="X826" s="666"/>
      <c r="Y826" s="666"/>
      <c r="Z826" s="666"/>
      <c r="AA826" s="666"/>
      <c r="AB826" s="666"/>
      <c r="AC826" s="666"/>
      <c r="AD826" s="666"/>
      <c r="AE826" s="666"/>
    </row>
    <row r="827" spans="2:31" ht="15.75">
      <c r="B827" s="219"/>
      <c r="C827" s="202" t="s">
        <v>673</v>
      </c>
      <c r="D827" s="187" t="s">
        <v>522</v>
      </c>
      <c r="E827" s="2"/>
      <c r="F827" s="579"/>
      <c r="G827" s="20"/>
      <c r="H827" s="143"/>
      <c r="I827" s="143"/>
      <c r="J827" s="143"/>
      <c r="K827" s="143"/>
      <c r="L827" s="192">
        <v>10388653.869999999</v>
      </c>
      <c r="M827" s="143">
        <f t="shared" si="174"/>
        <v>10388653.869999999</v>
      </c>
      <c r="N827" s="667"/>
      <c r="O827" s="667"/>
      <c r="P827" s="667"/>
      <c r="Q827" s="666"/>
      <c r="R827" s="152">
        <f>1757003.51+2466403.11+1571690.69+847212.33+418886.9+732553.06+1686064.62+474132.96</f>
        <v>9953947.1800000034</v>
      </c>
      <c r="S827" s="666"/>
      <c r="T827" s="666"/>
      <c r="U827" s="666"/>
      <c r="V827" s="666"/>
      <c r="W827" s="666"/>
      <c r="X827" s="203">
        <f>+L827-R827</f>
        <v>434706.68999999575</v>
      </c>
      <c r="Y827" s="666"/>
      <c r="Z827" s="666"/>
      <c r="AA827" s="666"/>
      <c r="AB827" s="666"/>
      <c r="AC827" s="666"/>
      <c r="AD827" s="666"/>
      <c r="AE827" s="666"/>
    </row>
    <row r="828" spans="2:31" ht="15.75">
      <c r="B828" s="219"/>
      <c r="C828" s="202"/>
      <c r="D828" s="186" t="s">
        <v>523</v>
      </c>
      <c r="E828" s="2"/>
      <c r="F828" s="579"/>
      <c r="G828" s="20"/>
      <c r="H828" s="143"/>
      <c r="I828" s="143"/>
      <c r="J828" s="143"/>
      <c r="K828" s="143"/>
      <c r="L828" s="191">
        <f>SUM(L829:L832)</f>
        <v>21289444.050000001</v>
      </c>
      <c r="M828" s="143" t="s">
        <v>29</v>
      </c>
      <c r="N828" s="667"/>
      <c r="O828" s="667"/>
      <c r="P828" s="667"/>
      <c r="Q828" s="666"/>
      <c r="R828" s="152"/>
      <c r="S828" s="666"/>
      <c r="T828" s="666"/>
      <c r="U828" s="666"/>
      <c r="V828" s="666"/>
      <c r="W828" s="666"/>
      <c r="X828" s="666"/>
      <c r="Y828" s="666"/>
      <c r="Z828" s="666"/>
      <c r="AA828" s="666"/>
      <c r="AB828" s="666"/>
      <c r="AC828" s="666"/>
      <c r="AD828" s="666"/>
      <c r="AE828" s="666"/>
    </row>
    <row r="829" spans="2:31" ht="31.5">
      <c r="B829" s="219"/>
      <c r="C829" s="202" t="s">
        <v>674</v>
      </c>
      <c r="D829" s="187" t="s">
        <v>524</v>
      </c>
      <c r="E829" s="2"/>
      <c r="F829" s="579"/>
      <c r="G829" s="20"/>
      <c r="H829" s="143"/>
      <c r="I829" s="143"/>
      <c r="J829" s="143"/>
      <c r="K829" s="143"/>
      <c r="L829" s="192">
        <v>5588971.54</v>
      </c>
      <c r="M829" s="143">
        <f t="shared" si="174"/>
        <v>5588971.54</v>
      </c>
      <c r="N829" s="667"/>
      <c r="O829" s="667"/>
      <c r="P829" s="667"/>
      <c r="Q829" s="666"/>
      <c r="R829" s="152">
        <f>187943.9+391789.49+1546253.05+1177755.03+398325.41+320060.09+374664.31</f>
        <v>4396791.2799999993</v>
      </c>
      <c r="S829" s="666"/>
      <c r="T829" s="666"/>
      <c r="U829" s="666"/>
      <c r="V829" s="666"/>
      <c r="W829" s="666"/>
      <c r="X829" s="327">
        <f>+L829-R829</f>
        <v>1192180.2600000007</v>
      </c>
      <c r="Y829" s="666"/>
      <c r="Z829" s="666"/>
      <c r="AA829" s="666"/>
      <c r="AB829" s="666"/>
      <c r="AC829" s="666"/>
      <c r="AD829" s="666"/>
      <c r="AE829" s="666"/>
    </row>
    <row r="830" spans="2:31" ht="31.5">
      <c r="B830" s="219"/>
      <c r="C830" s="202" t="s">
        <v>675</v>
      </c>
      <c r="D830" s="187" t="s">
        <v>525</v>
      </c>
      <c r="E830" s="2"/>
      <c r="F830" s="579"/>
      <c r="G830" s="20"/>
      <c r="H830" s="143"/>
      <c r="I830" s="143"/>
      <c r="J830" s="143"/>
      <c r="K830" s="143"/>
      <c r="L830" s="192">
        <v>658374.76</v>
      </c>
      <c r="M830" s="143">
        <f t="shared" si="174"/>
        <v>658374.76</v>
      </c>
      <c r="N830" s="667"/>
      <c r="O830" s="667"/>
      <c r="P830" s="667"/>
      <c r="Q830" s="666"/>
      <c r="R830" s="152">
        <f>34331.66+97878.33+143492.27+282433.02+81869.53+18369.95</f>
        <v>658374.76</v>
      </c>
      <c r="S830" s="666"/>
      <c r="T830" s="666"/>
      <c r="U830" s="666"/>
      <c r="V830" s="666"/>
      <c r="W830" s="666"/>
      <c r="X830" s="327">
        <f>+L830-R830</f>
        <v>0</v>
      </c>
      <c r="Y830" s="666"/>
      <c r="Z830" s="666"/>
      <c r="AA830" s="666"/>
      <c r="AB830" s="666"/>
      <c r="AC830" s="666"/>
      <c r="AD830" s="666"/>
      <c r="AE830" s="666"/>
    </row>
    <row r="831" spans="2:31" ht="31.5">
      <c r="B831" s="219"/>
      <c r="C831" s="202" t="s">
        <v>676</v>
      </c>
      <c r="D831" s="187" t="s">
        <v>526</v>
      </c>
      <c r="E831" s="2"/>
      <c r="F831" s="579"/>
      <c r="G831" s="20"/>
      <c r="H831" s="143"/>
      <c r="I831" s="143"/>
      <c r="J831" s="143"/>
      <c r="K831" s="143"/>
      <c r="L831" s="192">
        <v>201163.65000000002</v>
      </c>
      <c r="M831" s="143">
        <f t="shared" si="174"/>
        <v>201163.65000000002</v>
      </c>
      <c r="N831" s="667"/>
      <c r="O831" s="667"/>
      <c r="P831" s="667"/>
      <c r="Q831" s="666"/>
      <c r="R831" s="152">
        <f>13478.77+70847.21+92062.81</f>
        <v>176388.79</v>
      </c>
      <c r="S831" s="666"/>
      <c r="T831" s="666"/>
      <c r="U831" s="666"/>
      <c r="V831" s="666"/>
      <c r="W831" s="666"/>
      <c r="X831" s="327">
        <f>+L831-R831</f>
        <v>24774.860000000015</v>
      </c>
      <c r="Y831" s="666"/>
      <c r="Z831" s="666"/>
      <c r="AA831" s="666"/>
      <c r="AB831" s="666"/>
      <c r="AC831" s="666"/>
      <c r="AD831" s="666"/>
      <c r="AE831" s="666"/>
    </row>
    <row r="832" spans="2:31" ht="15.75">
      <c r="B832" s="219"/>
      <c r="C832" s="202" t="s">
        <v>677</v>
      </c>
      <c r="D832" s="187" t="s">
        <v>527</v>
      </c>
      <c r="E832" s="2"/>
      <c r="F832" s="579"/>
      <c r="G832" s="20"/>
      <c r="H832" s="143"/>
      <c r="I832" s="143"/>
      <c r="J832" s="143"/>
      <c r="K832" s="143"/>
      <c r="L832" s="192">
        <v>14840934.1</v>
      </c>
      <c r="M832" s="143">
        <f t="shared" si="174"/>
        <v>14840934.1</v>
      </c>
      <c r="N832" s="667"/>
      <c r="O832" s="667"/>
      <c r="P832" s="667"/>
      <c r="Q832" s="666"/>
      <c r="R832" s="152">
        <f>25603.87+638603.76+1184641.45+0+402328.66+589016.3+1319979.14+707001.49+162815.51+1243140.34+3518891.8+3440826.65</f>
        <v>13232848.970000001</v>
      </c>
      <c r="S832" s="666"/>
      <c r="T832" s="666"/>
      <c r="U832" s="666"/>
      <c r="V832" s="666"/>
      <c r="W832" s="666"/>
      <c r="X832" s="203">
        <f>+L832-R832</f>
        <v>1608085.129999999</v>
      </c>
      <c r="Y832" s="666"/>
      <c r="Z832" s="666"/>
      <c r="AA832" s="666"/>
      <c r="AB832" s="666"/>
      <c r="AC832" s="666"/>
      <c r="AD832" s="666"/>
      <c r="AE832" s="666"/>
    </row>
    <row r="833" spans="2:31" ht="15.75">
      <c r="B833" s="219"/>
      <c r="C833" s="201"/>
      <c r="D833" s="186" t="s">
        <v>528</v>
      </c>
      <c r="E833" s="2"/>
      <c r="F833" s="579"/>
      <c r="G833" s="20"/>
      <c r="H833" s="143"/>
      <c r="I833" s="143"/>
      <c r="J833" s="143"/>
      <c r="K833" s="143"/>
      <c r="L833" s="191">
        <f>L834</f>
        <v>292598.13</v>
      </c>
      <c r="M833" s="143" t="s">
        <v>29</v>
      </c>
      <c r="N833" s="667"/>
      <c r="O833" s="667"/>
      <c r="P833" s="667"/>
      <c r="Q833" s="666"/>
      <c r="R833" s="666"/>
      <c r="S833" s="666"/>
      <c r="T833" s="666"/>
      <c r="U833" s="666"/>
      <c r="V833" s="666"/>
      <c r="W833" s="666"/>
      <c r="X833" s="666"/>
      <c r="Y833" s="666"/>
      <c r="Z833" s="666"/>
      <c r="AA833" s="666"/>
      <c r="AB833" s="666"/>
      <c r="AC833" s="666"/>
      <c r="AD833" s="666"/>
      <c r="AE833" s="666"/>
    </row>
    <row r="834" spans="2:31" ht="47.25">
      <c r="B834" s="219"/>
      <c r="C834" s="202" t="s">
        <v>529</v>
      </c>
      <c r="D834" s="187" t="s">
        <v>530</v>
      </c>
      <c r="E834" s="2" t="s">
        <v>765</v>
      </c>
      <c r="F834" s="579"/>
      <c r="G834" s="20"/>
      <c r="H834" s="143"/>
      <c r="I834" s="143"/>
      <c r="J834" s="143"/>
      <c r="K834" s="143"/>
      <c r="L834" s="192">
        <v>292598.13</v>
      </c>
      <c r="M834" s="143">
        <f t="shared" si="174"/>
        <v>292598.13</v>
      </c>
      <c r="N834" s="667"/>
      <c r="O834" s="667"/>
      <c r="P834" s="667"/>
      <c r="Q834" s="666"/>
      <c r="R834" s="666"/>
      <c r="S834" s="666"/>
      <c r="T834" s="666"/>
      <c r="U834" s="666"/>
      <c r="V834" s="666"/>
      <c r="W834" s="666"/>
      <c r="X834" s="666"/>
      <c r="Y834" s="666"/>
      <c r="Z834" s="666"/>
      <c r="AA834" s="666"/>
      <c r="AB834" s="666"/>
      <c r="AC834" s="666"/>
      <c r="AD834" s="666"/>
      <c r="AE834" s="666"/>
    </row>
    <row r="835" spans="2:31" ht="16.5" thickBot="1">
      <c r="B835" s="217"/>
      <c r="C835" s="218"/>
      <c r="D835" s="218" t="s">
        <v>531</v>
      </c>
      <c r="E835" s="195">
        <f t="shared" ref="E835:K835" si="176">E819+E826+E828+E833</f>
        <v>0</v>
      </c>
      <c r="F835" s="581"/>
      <c r="G835" s="788"/>
      <c r="H835" s="195">
        <f t="shared" si="176"/>
        <v>0</v>
      </c>
      <c r="I835" s="195">
        <f t="shared" si="176"/>
        <v>0</v>
      </c>
      <c r="J835" s="195">
        <f t="shared" si="176"/>
        <v>0</v>
      </c>
      <c r="K835" s="195">
        <f t="shared" si="176"/>
        <v>0</v>
      </c>
      <c r="L835" s="195">
        <f>L819+L826+L828+L833</f>
        <v>41789438.229999997</v>
      </c>
      <c r="M835" s="195">
        <f>SUM(M820:M834)</f>
        <v>41789438.229999997</v>
      </c>
      <c r="N835" s="195">
        <f t="shared" ref="N835:AE835" si="177">SUM(N820:N834)</f>
        <v>0</v>
      </c>
      <c r="O835" s="195">
        <f t="shared" si="177"/>
        <v>0</v>
      </c>
      <c r="P835" s="195">
        <f t="shared" si="177"/>
        <v>0</v>
      </c>
      <c r="Q835" s="195">
        <f t="shared" si="177"/>
        <v>0</v>
      </c>
      <c r="R835" s="195">
        <f t="shared" si="177"/>
        <v>36850585.370000005</v>
      </c>
      <c r="S835" s="195">
        <f t="shared" si="177"/>
        <v>0</v>
      </c>
      <c r="T835" s="195">
        <f t="shared" si="177"/>
        <v>0</v>
      </c>
      <c r="U835" s="195">
        <f t="shared" si="177"/>
        <v>0</v>
      </c>
      <c r="V835" s="195">
        <f t="shared" si="177"/>
        <v>0</v>
      </c>
      <c r="W835" s="195">
        <f t="shared" si="177"/>
        <v>0</v>
      </c>
      <c r="X835" s="195">
        <f t="shared" si="177"/>
        <v>4646254.7299999949</v>
      </c>
      <c r="Y835" s="195">
        <f t="shared" si="177"/>
        <v>0</v>
      </c>
      <c r="Z835" s="195">
        <f t="shared" si="177"/>
        <v>0</v>
      </c>
      <c r="AA835" s="195">
        <f t="shared" si="177"/>
        <v>0</v>
      </c>
      <c r="AB835" s="195">
        <f t="shared" si="177"/>
        <v>0</v>
      </c>
      <c r="AC835" s="195">
        <f t="shared" si="177"/>
        <v>0</v>
      </c>
      <c r="AD835" s="195">
        <f t="shared" si="177"/>
        <v>2602368.2600000002</v>
      </c>
      <c r="AE835" s="195">
        <f t="shared" si="177"/>
        <v>0</v>
      </c>
    </row>
    <row r="836" spans="2:31" ht="15.75">
      <c r="B836" s="200"/>
      <c r="C836" s="200"/>
      <c r="D836" s="261"/>
      <c r="E836" s="200"/>
      <c r="F836" s="343"/>
      <c r="G836" s="778"/>
    </row>
    <row r="837" spans="2:31" ht="16.5" thickBot="1">
      <c r="B837" s="1026" t="s">
        <v>436</v>
      </c>
      <c r="C837" s="1026"/>
      <c r="D837" s="1027"/>
      <c r="E837" s="223">
        <v>324051091.84750003</v>
      </c>
      <c r="F837" s="582"/>
      <c r="G837" s="789"/>
      <c r="H837" s="208"/>
      <c r="I837" s="208"/>
      <c r="J837" s="208"/>
      <c r="K837" s="208"/>
      <c r="L837" s="208"/>
      <c r="M837" s="208">
        <f>+M699+M747+M815+M835</f>
        <v>325611286.22800004</v>
      </c>
      <c r="N837"/>
      <c r="O837"/>
      <c r="P837"/>
    </row>
  </sheetData>
  <autoFilter ref="A1:AI837" xr:uid="{00000000-0009-0000-0000-000002000000}"/>
  <mergeCells count="26">
    <mergeCell ref="B817:E817"/>
    <mergeCell ref="B837:D837"/>
    <mergeCell ref="I566:K566"/>
    <mergeCell ref="L566:N566"/>
    <mergeCell ref="B572:D572"/>
    <mergeCell ref="B686:D686"/>
    <mergeCell ref="B701:E701"/>
    <mergeCell ref="B749:E749"/>
    <mergeCell ref="E566:H566"/>
    <mergeCell ref="B463:D463"/>
    <mergeCell ref="B472:D472"/>
    <mergeCell ref="B481:D481"/>
    <mergeCell ref="B551:D551"/>
    <mergeCell ref="B566:D566"/>
    <mergeCell ref="T10:Y10"/>
    <mergeCell ref="Z10:AE10"/>
    <mergeCell ref="AH81:AI81"/>
    <mergeCell ref="D298:F298"/>
    <mergeCell ref="B368:L368"/>
    <mergeCell ref="D371:M371"/>
    <mergeCell ref="B2:M2"/>
    <mergeCell ref="D4:D6"/>
    <mergeCell ref="H4:H8"/>
    <mergeCell ref="N5:N7"/>
    <mergeCell ref="E6:F6"/>
    <mergeCell ref="N10:S10"/>
  </mergeCells>
  <pageMargins left="0.70866141732283472" right="0.70866141732283472" top="0.74803149606299213" bottom="0.74803149606299213" header="0.31496062992125984" footer="0.31496062992125984"/>
  <pageSetup scale="4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topLeftCell="A7" workbookViewId="0">
      <selection activeCell="E5" sqref="E5"/>
    </sheetView>
  </sheetViews>
  <sheetFormatPr baseColWidth="10" defaultRowHeight="15"/>
  <cols>
    <col min="1" max="1" width="11.5703125" bestFit="1" customWidth="1"/>
    <col min="3" max="3" width="38.85546875" customWidth="1"/>
    <col min="5" max="5" width="28.140625" customWidth="1"/>
    <col min="6" max="7" width="11.5703125" bestFit="1" customWidth="1"/>
    <col min="8" max="9" width="14.140625" bestFit="1" customWidth="1"/>
    <col min="10" max="10" width="11.5703125" bestFit="1" customWidth="1"/>
    <col min="11" max="11" width="13" bestFit="1" customWidth="1"/>
  </cols>
  <sheetData>
    <row r="1" spans="1:11" ht="15.75" thickBot="1"/>
    <row r="2" spans="1:11" s="844" customFormat="1" ht="72.75" thickBot="1">
      <c r="A2" s="838" t="s">
        <v>1</v>
      </c>
      <c r="B2" s="839" t="s">
        <v>110</v>
      </c>
      <c r="C2" s="840" t="s">
        <v>2</v>
      </c>
      <c r="D2" s="841" t="s">
        <v>1520</v>
      </c>
      <c r="E2" s="841" t="s">
        <v>1521</v>
      </c>
      <c r="F2" s="842" t="s">
        <v>87</v>
      </c>
      <c r="G2" s="842" t="s">
        <v>86</v>
      </c>
      <c r="H2" s="842" t="s">
        <v>1522</v>
      </c>
      <c r="I2" s="842" t="s">
        <v>4</v>
      </c>
      <c r="J2" s="842" t="s">
        <v>5</v>
      </c>
      <c r="K2" s="843" t="s">
        <v>6</v>
      </c>
    </row>
    <row r="3" spans="1:11" s="834" customFormat="1" ht="56.25">
      <c r="A3" s="827">
        <v>6</v>
      </c>
      <c r="B3" s="828"/>
      <c r="C3" s="829" t="s">
        <v>1518</v>
      </c>
      <c r="D3" s="830"/>
      <c r="E3" s="831" t="s">
        <v>1516</v>
      </c>
      <c r="F3" s="832">
        <v>0</v>
      </c>
      <c r="G3" s="832">
        <v>0</v>
      </c>
      <c r="H3" s="833">
        <v>0</v>
      </c>
      <c r="I3" s="833">
        <v>3000000</v>
      </c>
      <c r="J3" s="832">
        <v>0</v>
      </c>
      <c r="K3" s="832">
        <f t="shared" ref="K3:K4" si="0">SUM(F3:J3)</f>
        <v>3000000</v>
      </c>
    </row>
    <row r="4" spans="1:11" s="834" customFormat="1" ht="56.25">
      <c r="A4" s="827">
        <v>7</v>
      </c>
      <c r="B4" s="828"/>
      <c r="C4" s="835" t="s">
        <v>1519</v>
      </c>
      <c r="D4" s="830"/>
      <c r="E4" s="831" t="s">
        <v>1517</v>
      </c>
      <c r="F4" s="836">
        <v>0</v>
      </c>
      <c r="G4" s="836">
        <v>0</v>
      </c>
      <c r="H4" s="837">
        <v>0</v>
      </c>
      <c r="I4" s="837">
        <v>1400000</v>
      </c>
      <c r="J4" s="836">
        <v>0</v>
      </c>
      <c r="K4" s="832">
        <f t="shared" si="0"/>
        <v>1400000</v>
      </c>
    </row>
    <row r="5" spans="1:11" s="834" customFormat="1" ht="168.75">
      <c r="A5" s="827"/>
      <c r="B5" s="827"/>
      <c r="C5" s="845" t="s">
        <v>1523</v>
      </c>
      <c r="D5" s="846"/>
      <c r="E5" s="847" t="s">
        <v>1524</v>
      </c>
      <c r="F5" s="848">
        <v>0</v>
      </c>
      <c r="G5" s="848">
        <v>0</v>
      </c>
      <c r="H5" s="848">
        <v>0</v>
      </c>
      <c r="I5" s="848">
        <v>4400000</v>
      </c>
      <c r="J5" s="848">
        <v>0</v>
      </c>
      <c r="K5" s="849">
        <f t="shared" ref="K5" si="1">SUM(F5:J5)</f>
        <v>4400000</v>
      </c>
    </row>
  </sheetData>
  <pageMargins left="0.7" right="0.7" top="0.75" bottom="0.75" header="0.3" footer="0.3"/>
  <pageSetup orientation="portrait" horizontalDpi="4294967292"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CIERRE PGO AVANCES</vt:lpstr>
      <vt:lpstr>Hoja 1</vt:lpstr>
      <vt:lpstr>AJUSTES EN CIERRE</vt:lpstr>
      <vt:lpstr>Hoja1</vt:lpstr>
      <vt:lpstr>'CIERRE PGO AVANCES'!Títulos_a_imprimir</vt:lpstr>
      <vt:lpstr>'Hoja 1'!Títulos_a_imprimir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OSUNA</dc:creator>
  <cp:lastModifiedBy>Estefania</cp:lastModifiedBy>
  <cp:lastPrinted>2018-03-15T17:53:41Z</cp:lastPrinted>
  <dcterms:created xsi:type="dcterms:W3CDTF">2017-03-14T03:33:18Z</dcterms:created>
  <dcterms:modified xsi:type="dcterms:W3CDTF">2019-04-02T17:20:48Z</dcterms:modified>
</cp:coreProperties>
</file>